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3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4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5.xml" ContentType="application/vnd.openxmlformats-officedocument.spreadsheetml.tab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6.xml" ContentType="application/vnd.openxmlformats-officedocument.spreadsheetml.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codeName="ThisWorkbook" defaultThemeVersion="124226"/>
  <xr:revisionPtr revIDLastSave="0" documentId="13_ncr:1_{E3E3E815-07B6-4DCD-A287-82E1CB45A3C5}" xr6:coauthVersionLast="36" xr6:coauthVersionMax="36" xr10:uidLastSave="{00000000-0000-0000-0000-000000000000}"/>
  <workbookProtection workbookAlgorithmName="SHA-512" workbookHashValue="wXiZf8H2++NQdgUEnesqkvzYNNgioz5wzshDTS09vzPAau11Cl3awooYaPuoJBtq61G8F0OO9EbwfurRFjpHEA==" workbookSaltValue="nHOsop96rt/peMaWH4DC1A==" workbookSpinCount="100000" lockStructure="1"/>
  <bookViews>
    <workbookView xWindow="0" yWindow="0" windowWidth="19008" windowHeight="9060" activeTab="9" xr2:uid="{00000000-000D-0000-FFFF-FFFF00000000}"/>
  </bookViews>
  <sheets>
    <sheet name="MCF8315C_RRY_FOC " sheetId="28" r:id="rId1"/>
    <sheet name="MCF8315C_RGF_FOC " sheetId="27" r:id="rId2"/>
    <sheet name="MCF8315C_PWP_FOC " sheetId="26" r:id="rId3"/>
    <sheet name="MCT8316Z_Trap" sheetId="9" r:id="rId4"/>
    <sheet name="DRV8376_Trap" sheetId="25" r:id="rId5"/>
    <sheet name="DRV8376_FOC" sheetId="24" r:id="rId6"/>
    <sheet name="DRV8316_Trap" sheetId="13" r:id="rId7"/>
    <sheet name="DRV8316_FOC" sheetId="14" r:id="rId8"/>
    <sheet name="MCT8316A_Trap" sheetId="17" r:id="rId9"/>
    <sheet name="MCF8316A_FOC" sheetId="18" r:id="rId10"/>
    <sheet name="DRV8311_Trap" sheetId="19" r:id="rId11"/>
    <sheet name="DRV8311_FOC" sheetId="20" r:id="rId12"/>
    <sheet name="DRV8317_Trap" sheetId="21" r:id="rId13"/>
    <sheet name="DRV8317_FOC" sheetId="22" r:id="rId14"/>
  </sheets>
  <calcPr calcId="191028" iterateDelta="1E-4"/>
</workbook>
</file>

<file path=xl/calcChain.xml><?xml version="1.0" encoding="utf-8"?>
<calcChain xmlns="http://schemas.openxmlformats.org/spreadsheetml/2006/main">
  <c r="Q70" i="28" l="1"/>
  <c r="Q69" i="28"/>
  <c r="Q68" i="28"/>
  <c r="Q67" i="28"/>
  <c r="Q66" i="28"/>
  <c r="Q65" i="28"/>
  <c r="Q64" i="28"/>
  <c r="Q63" i="28"/>
  <c r="Q62" i="28"/>
  <c r="Q61" i="28"/>
  <c r="Q60" i="28"/>
  <c r="Q59" i="28"/>
  <c r="Q58" i="28"/>
  <c r="Q57" i="28"/>
  <c r="Q56" i="28"/>
  <c r="Q55" i="28"/>
  <c r="Q54" i="28"/>
  <c r="Q53" i="28"/>
  <c r="Q52" i="28"/>
  <c r="Q51" i="28"/>
  <c r="Q50" i="28"/>
  <c r="Q49" i="28"/>
  <c r="Q48" i="28"/>
  <c r="Q47" i="28"/>
  <c r="Q46" i="28"/>
  <c r="Q45" i="28"/>
  <c r="Q44" i="28"/>
  <c r="Q43" i="28"/>
  <c r="Q42" i="28"/>
  <c r="J42" i="28"/>
  <c r="X41" i="28"/>
  <c r="Q41" i="28"/>
  <c r="Q40" i="28"/>
  <c r="Q39" i="28"/>
  <c r="X38" i="28"/>
  <c r="Q38" i="28"/>
  <c r="J38" i="28"/>
  <c r="Q37" i="28"/>
  <c r="Q36" i="28"/>
  <c r="J36" i="28"/>
  <c r="Q35" i="28"/>
  <c r="Q34" i="28"/>
  <c r="X33" i="28"/>
  <c r="Q33" i="28"/>
  <c r="Q32" i="28"/>
  <c r="X31" i="28"/>
  <c r="X40" i="28" s="1"/>
  <c r="Q31" i="28"/>
  <c r="X30" i="28"/>
  <c r="X37" i="28" s="1"/>
  <c r="Q30" i="28"/>
  <c r="X29" i="28"/>
  <c r="Q29" i="28"/>
  <c r="Q28" i="28"/>
  <c r="Q27" i="28"/>
  <c r="X26" i="28"/>
  <c r="X27" i="28" s="1"/>
  <c r="Q26" i="28"/>
  <c r="Q25" i="28"/>
  <c r="Q24" i="28"/>
  <c r="Y23" i="28"/>
  <c r="W23" i="28"/>
  <c r="Q23" i="28"/>
  <c r="S20" i="28"/>
  <c r="R20" i="28"/>
  <c r="AA19" i="28"/>
  <c r="U17" i="28"/>
  <c r="T17" i="28"/>
  <c r="S17" i="28"/>
  <c r="R17" i="28"/>
  <c r="AA20" i="28" l="1"/>
  <c r="U20" i="28"/>
  <c r="X24" i="28" s="1"/>
  <c r="AD16" i="28"/>
  <c r="AD17" i="28" s="1"/>
  <c r="AD18" i="28" s="1"/>
  <c r="AD19" i="28" l="1"/>
  <c r="AF16" i="28" s="1"/>
  <c r="AF17" i="28" s="1"/>
  <c r="AF18" i="28" s="1"/>
  <c r="AF19" i="28" s="1"/>
  <c r="AH16" i="28" s="1"/>
  <c r="X36" i="28" s="1"/>
  <c r="X39" i="28" s="1"/>
  <c r="AH17" i="28" l="1"/>
  <c r="AH18" i="28" s="1"/>
  <c r="AH19" i="28" s="1"/>
  <c r="E4" i="28" s="1"/>
  <c r="E3" i="28"/>
  <c r="X43" i="28" s="1"/>
  <c r="Q70" i="27" l="1"/>
  <c r="Q69" i="27"/>
  <c r="X68" i="27"/>
  <c r="Q68" i="27"/>
  <c r="Q67" i="27"/>
  <c r="Q66" i="27"/>
  <c r="Q65" i="27"/>
  <c r="Q64" i="27"/>
  <c r="Q63" i="27"/>
  <c r="Q62" i="27"/>
  <c r="Q61" i="27"/>
  <c r="Q60" i="27"/>
  <c r="Q59" i="27"/>
  <c r="Q58" i="27"/>
  <c r="X57" i="27"/>
  <c r="Q57" i="27"/>
  <c r="X56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X38" i="27"/>
  <c r="Q38" i="27"/>
  <c r="Q37" i="27"/>
  <c r="Q36" i="27"/>
  <c r="X35" i="27"/>
  <c r="X66" i="27" s="1"/>
  <c r="Q35" i="27"/>
  <c r="Q34" i="27"/>
  <c r="X33" i="27"/>
  <c r="Q33" i="27"/>
  <c r="X32" i="27"/>
  <c r="Q32" i="27"/>
  <c r="Q31" i="27"/>
  <c r="Q30" i="27"/>
  <c r="Q29" i="27"/>
  <c r="Q28" i="27"/>
  <c r="X27" i="27"/>
  <c r="X29" i="27" s="1"/>
  <c r="Q27" i="27"/>
  <c r="Q26" i="27"/>
  <c r="Q25" i="27"/>
  <c r="Q24" i="27"/>
  <c r="Y23" i="27"/>
  <c r="W23" i="27"/>
  <c r="Q23" i="27"/>
  <c r="S20" i="27"/>
  <c r="AA19" i="27"/>
  <c r="AD16" i="27" s="1"/>
  <c r="AD17" i="27" s="1"/>
  <c r="U17" i="27"/>
  <c r="T17" i="27"/>
  <c r="S17" i="27"/>
  <c r="R20" i="27" s="1"/>
  <c r="R17" i="27"/>
  <c r="AA20" i="27" l="1"/>
  <c r="AD18" i="27" s="1"/>
  <c r="U20" i="27"/>
  <c r="X24" i="27" l="1"/>
  <c r="AD19" i="27" s="1"/>
  <c r="AF16" i="27" s="1"/>
  <c r="AF17" i="27" s="1"/>
  <c r="AF18" i="27" s="1"/>
  <c r="AF19" i="27" s="1"/>
  <c r="AH16" i="27" s="1"/>
  <c r="X54" i="27" l="1"/>
  <c r="X65" i="27" s="1"/>
  <c r="AH17" i="27"/>
  <c r="AH18" i="27" s="1"/>
  <c r="AH19" i="27" l="1"/>
  <c r="E4" i="27" s="1"/>
  <c r="E3" i="27"/>
  <c r="X70" i="27" s="1"/>
  <c r="Q70" i="26" l="1"/>
  <c r="Q69" i="26"/>
  <c r="X68" i="26"/>
  <c r="Q68" i="26"/>
  <c r="Q67" i="26"/>
  <c r="Q66" i="26"/>
  <c r="Q65" i="26"/>
  <c r="Q64" i="26"/>
  <c r="Q63" i="26"/>
  <c r="Q62" i="26"/>
  <c r="Q61" i="26"/>
  <c r="Q60" i="26"/>
  <c r="Q59" i="26"/>
  <c r="Q58" i="26"/>
  <c r="X57" i="26"/>
  <c r="Q57" i="26"/>
  <c r="X56" i="26"/>
  <c r="Q56" i="26"/>
  <c r="Q55" i="26"/>
  <c r="Q54" i="26"/>
  <c r="Q53" i="26"/>
  <c r="Q52" i="26"/>
  <c r="Q51" i="26"/>
  <c r="Q50" i="26"/>
  <c r="Q49" i="26"/>
  <c r="Q48" i="26"/>
  <c r="Q47" i="26"/>
  <c r="Q46" i="26"/>
  <c r="Q45" i="26"/>
  <c r="Q44" i="26"/>
  <c r="Q43" i="26"/>
  <c r="Q42" i="26"/>
  <c r="Q41" i="26"/>
  <c r="Q40" i="26"/>
  <c r="Q39" i="26"/>
  <c r="X38" i="26"/>
  <c r="Q38" i="26"/>
  <c r="Q37" i="26"/>
  <c r="Q36" i="26"/>
  <c r="X35" i="26"/>
  <c r="X66" i="26" s="1"/>
  <c r="Q35" i="26"/>
  <c r="Q34" i="26"/>
  <c r="X33" i="26"/>
  <c r="Q33" i="26"/>
  <c r="X32" i="26"/>
  <c r="Q32" i="26"/>
  <c r="Q31" i="26"/>
  <c r="Q30" i="26"/>
  <c r="Q29" i="26"/>
  <c r="Q28" i="26"/>
  <c r="X27" i="26"/>
  <c r="X29" i="26" s="1"/>
  <c r="Q27" i="26"/>
  <c r="Q26" i="26"/>
  <c r="Q25" i="26"/>
  <c r="Q24" i="26"/>
  <c r="Y23" i="26"/>
  <c r="W23" i="26"/>
  <c r="Q23" i="26"/>
  <c r="S20" i="26"/>
  <c r="R20" i="26"/>
  <c r="U20" i="26" s="1"/>
  <c r="AA19" i="26"/>
  <c r="U17" i="26"/>
  <c r="T17" i="26"/>
  <c r="S17" i="26"/>
  <c r="R17" i="26"/>
  <c r="AD16" i="26"/>
  <c r="AD17" i="26" s="1"/>
  <c r="X24" i="26" l="1"/>
  <c r="AA20" i="26"/>
  <c r="AD18" i="26" s="1"/>
  <c r="AD19" i="26" s="1"/>
  <c r="AF16" i="26" s="1"/>
  <c r="AF17" i="26" s="1"/>
  <c r="AF18" i="26" s="1"/>
  <c r="AF19" i="26" s="1"/>
  <c r="AH16" i="26" s="1"/>
  <c r="X54" i="26" l="1"/>
  <c r="X65" i="26" s="1"/>
  <c r="AH17" i="26"/>
  <c r="AH18" i="26" s="1"/>
  <c r="AH19" i="26" l="1"/>
  <c r="E4" i="26" s="1"/>
  <c r="E3" i="26"/>
  <c r="X70" i="26" s="1"/>
  <c r="AB56" i="25" l="1"/>
  <c r="U56" i="25"/>
  <c r="AB55" i="25"/>
  <c r="U55" i="25"/>
  <c r="U54" i="25"/>
  <c r="U53" i="25"/>
  <c r="U52" i="25"/>
  <c r="AB51" i="25"/>
  <c r="U51" i="25"/>
  <c r="AB50" i="25"/>
  <c r="U50" i="25"/>
  <c r="U49" i="25"/>
  <c r="U48" i="25"/>
  <c r="AB47" i="25"/>
  <c r="U47" i="25"/>
  <c r="U46" i="25"/>
  <c r="U45" i="25"/>
  <c r="U44" i="25"/>
  <c r="U43" i="25"/>
  <c r="AB42" i="25"/>
  <c r="U42" i="25"/>
  <c r="U41" i="25"/>
  <c r="AB40" i="25"/>
  <c r="U40" i="25"/>
  <c r="AB39" i="25"/>
  <c r="U39" i="25"/>
  <c r="AB38" i="25"/>
  <c r="U38" i="25"/>
  <c r="U37" i="25"/>
  <c r="AB36" i="25"/>
  <c r="U36" i="25"/>
  <c r="AB35" i="25"/>
  <c r="U35" i="25"/>
  <c r="U34" i="25"/>
  <c r="U33" i="25"/>
  <c r="AC32" i="25"/>
  <c r="AA32" i="25"/>
  <c r="U32" i="25"/>
  <c r="AB29" i="25"/>
  <c r="AE30" i="25" s="1"/>
  <c r="W29" i="25"/>
  <c r="V29" i="25"/>
  <c r="Y29" i="25" s="1"/>
  <c r="Y26" i="25"/>
  <c r="X26" i="25"/>
  <c r="W26" i="25"/>
  <c r="V26" i="25"/>
  <c r="C9" i="25"/>
  <c r="A9" i="25"/>
  <c r="C8" i="25"/>
  <c r="A8" i="25"/>
  <c r="AB33" i="25" l="1"/>
  <c r="AH25" i="25"/>
  <c r="AH26" i="25" s="1"/>
  <c r="AB46" i="25"/>
  <c r="AB49" i="25"/>
  <c r="AB57" i="25"/>
  <c r="AB59" i="25" s="1"/>
  <c r="X43" i="24"/>
  <c r="X21" i="24"/>
  <c r="AA20" i="24" s="1"/>
  <c r="AD17" i="24" s="1"/>
  <c r="AD18" i="24" s="1"/>
  <c r="X42" i="24"/>
  <c r="Q48" i="24"/>
  <c r="Q47" i="24"/>
  <c r="Q46" i="24"/>
  <c r="Q45" i="24"/>
  <c r="Q44" i="24"/>
  <c r="Q43" i="24"/>
  <c r="Q42" i="24"/>
  <c r="Q41" i="24"/>
  <c r="Q40" i="24"/>
  <c r="X39" i="24"/>
  <c r="Q39" i="24"/>
  <c r="Q38" i="24"/>
  <c r="Q37" i="24"/>
  <c r="Q36" i="24"/>
  <c r="Q35" i="24"/>
  <c r="X34" i="24"/>
  <c r="Q34" i="24"/>
  <c r="Q33" i="24"/>
  <c r="X32" i="24"/>
  <c r="X41" i="24" s="1"/>
  <c r="Q32" i="24"/>
  <c r="X31" i="24"/>
  <c r="X38" i="24" s="1"/>
  <c r="Q31" i="24"/>
  <c r="X30" i="24"/>
  <c r="Q30" i="24"/>
  <c r="Q29" i="24"/>
  <c r="Q28" i="24"/>
  <c r="X27" i="24"/>
  <c r="X28" i="24" s="1"/>
  <c r="Q27" i="24"/>
  <c r="Q26" i="24"/>
  <c r="Q25" i="24"/>
  <c r="Y24" i="24"/>
  <c r="W24" i="24"/>
  <c r="Q24" i="24"/>
  <c r="S21" i="24"/>
  <c r="U18" i="24"/>
  <c r="T18" i="24"/>
  <c r="R21" i="24" s="1"/>
  <c r="S18" i="24"/>
  <c r="R18" i="24"/>
  <c r="AB58" i="25" l="1"/>
  <c r="AE31" i="25"/>
  <c r="AH27" i="25" s="1"/>
  <c r="AH28" i="25" s="1"/>
  <c r="AJ25" i="25" s="1"/>
  <c r="AJ26" i="25" s="1"/>
  <c r="AJ27" i="25" s="1"/>
  <c r="AJ28" i="25" s="1"/>
  <c r="AL25" i="25" s="1"/>
  <c r="U21" i="24"/>
  <c r="X25" i="24" s="1"/>
  <c r="AA21" i="24"/>
  <c r="AD19" i="24" s="1"/>
  <c r="X37" i="22"/>
  <c r="X32" i="22"/>
  <c r="X17" i="22"/>
  <c r="X18" i="22"/>
  <c r="X19" i="22"/>
  <c r="X20" i="22"/>
  <c r="AL26" i="25" l="1"/>
  <c r="AL27" i="25" s="1"/>
  <c r="AB45" i="25"/>
  <c r="AB48" i="25" s="1"/>
  <c r="AD20" i="24"/>
  <c r="AF17" i="24" s="1"/>
  <c r="AF18" i="24" s="1"/>
  <c r="AF19" i="24" s="1"/>
  <c r="AF20" i="24" s="1"/>
  <c r="AH17" i="24" s="1"/>
  <c r="AA35" i="21"/>
  <c r="AA27" i="21"/>
  <c r="AA26" i="21"/>
  <c r="AA25" i="21"/>
  <c r="AA24" i="21"/>
  <c r="AL28" i="25" l="1"/>
  <c r="E4" i="25" s="1"/>
  <c r="E3" i="25"/>
  <c r="AH18" i="24"/>
  <c r="AH19" i="24" s="1"/>
  <c r="X37" i="24"/>
  <c r="X40" i="24" s="1"/>
  <c r="AA19" i="22"/>
  <c r="AD16" i="22" s="1"/>
  <c r="AD17" i="22" s="1"/>
  <c r="X30" i="22"/>
  <c r="X39" i="22" s="1"/>
  <c r="AA37" i="21"/>
  <c r="AD28" i="21"/>
  <c r="Q47" i="22"/>
  <c r="Q46" i="22"/>
  <c r="Q45" i="22"/>
  <c r="Q44" i="22"/>
  <c r="Q43" i="22"/>
  <c r="Q42" i="22"/>
  <c r="X40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X29" i="22"/>
  <c r="X36" i="22" s="1"/>
  <c r="Q29" i="22"/>
  <c r="X28" i="22"/>
  <c r="Q28" i="22"/>
  <c r="Q27" i="22"/>
  <c r="X26" i="22"/>
  <c r="X27" i="22" s="1"/>
  <c r="Q26" i="22"/>
  <c r="Q25" i="22"/>
  <c r="Q24" i="22"/>
  <c r="Y23" i="22"/>
  <c r="W23" i="22"/>
  <c r="Q23" i="22"/>
  <c r="S20" i="22"/>
  <c r="U17" i="22"/>
  <c r="T17" i="22"/>
  <c r="S17" i="22"/>
  <c r="R20" i="22" s="1"/>
  <c r="R17" i="22"/>
  <c r="N17" i="22"/>
  <c r="N18" i="22" s="1"/>
  <c r="N19" i="22" s="1"/>
  <c r="N20" i="22" s="1"/>
  <c r="N21" i="22" s="1"/>
  <c r="N22" i="22" s="1"/>
  <c r="N23" i="22" s="1"/>
  <c r="N24" i="22" s="1"/>
  <c r="N25" i="22" s="1"/>
  <c r="N26" i="22" s="1"/>
  <c r="N27" i="22" s="1"/>
  <c r="N28" i="22" s="1"/>
  <c r="N29" i="22" s="1"/>
  <c r="N30" i="22" s="1"/>
  <c r="N31" i="22" s="1"/>
  <c r="N32" i="22" s="1"/>
  <c r="N33" i="22" s="1"/>
  <c r="N34" i="22" s="1"/>
  <c r="N35" i="22" s="1"/>
  <c r="N36" i="22" s="1"/>
  <c r="N37" i="22" s="1"/>
  <c r="N38" i="22" s="1"/>
  <c r="N39" i="22" s="1"/>
  <c r="N40" i="22" s="1"/>
  <c r="N41" i="22" s="1"/>
  <c r="N42" i="22" s="1"/>
  <c r="N43" i="22" s="1"/>
  <c r="N44" i="22" s="1"/>
  <c r="N45" i="22" s="1"/>
  <c r="N46" i="22" s="1"/>
  <c r="N47" i="22" s="1"/>
  <c r="N48" i="22" s="1"/>
  <c r="N49" i="22" s="1"/>
  <c r="N50" i="22" s="1"/>
  <c r="N51" i="22" s="1"/>
  <c r="N52" i="22" s="1"/>
  <c r="N53" i="22" s="1"/>
  <c r="N54" i="22" s="1"/>
  <c r="AA53" i="21"/>
  <c r="T54" i="21"/>
  <c r="AA52" i="21"/>
  <c r="T53" i="21"/>
  <c r="T52" i="21"/>
  <c r="T51" i="21"/>
  <c r="T50" i="21"/>
  <c r="T49" i="21"/>
  <c r="AA47" i="21"/>
  <c r="T48" i="21"/>
  <c r="T47" i="21"/>
  <c r="T46" i="21"/>
  <c r="AA44" i="21"/>
  <c r="T45" i="21"/>
  <c r="T44" i="21"/>
  <c r="T43" i="21"/>
  <c r="T42" i="21"/>
  <c r="T41" i="21"/>
  <c r="AA39" i="21"/>
  <c r="T40" i="21"/>
  <c r="T39" i="21"/>
  <c r="T38" i="21"/>
  <c r="T37" i="21"/>
  <c r="AA36" i="21"/>
  <c r="T36" i="21"/>
  <c r="T35" i="21"/>
  <c r="T34" i="21"/>
  <c r="AA33" i="21"/>
  <c r="AA34" i="21" s="1"/>
  <c r="T33" i="21"/>
  <c r="T32" i="21"/>
  <c r="T31" i="21"/>
  <c r="AB30" i="21"/>
  <c r="Z30" i="21"/>
  <c r="T30" i="21"/>
  <c r="V27" i="21"/>
  <c r="X24" i="21"/>
  <c r="W24" i="21"/>
  <c r="V24" i="21"/>
  <c r="U24" i="21"/>
  <c r="Q23" i="21"/>
  <c r="Q24" i="21" s="1"/>
  <c r="Q25" i="21" s="1"/>
  <c r="Q26" i="21" s="1"/>
  <c r="Q27" i="21" s="1"/>
  <c r="Q28" i="21" s="1"/>
  <c r="Q29" i="21" s="1"/>
  <c r="Q30" i="21" s="1"/>
  <c r="Q31" i="21" s="1"/>
  <c r="Q32" i="21" s="1"/>
  <c r="Q33" i="21" s="1"/>
  <c r="Q34" i="21" s="1"/>
  <c r="Q35" i="21" s="1"/>
  <c r="Q36" i="21" s="1"/>
  <c r="Q37" i="21" s="1"/>
  <c r="Q38" i="21" s="1"/>
  <c r="Q39" i="21" s="1"/>
  <c r="Q40" i="21" s="1"/>
  <c r="Q41" i="21" s="1"/>
  <c r="Q42" i="21" s="1"/>
  <c r="Q43" i="21" s="1"/>
  <c r="Q44" i="21" s="1"/>
  <c r="Q45" i="21" s="1"/>
  <c r="Q46" i="21" s="1"/>
  <c r="Q47" i="21" s="1"/>
  <c r="Q48" i="21" s="1"/>
  <c r="Q49" i="21" s="1"/>
  <c r="Q50" i="21" s="1"/>
  <c r="Q51" i="21" s="1"/>
  <c r="Q52" i="21" s="1"/>
  <c r="Q53" i="21" s="1"/>
  <c r="Q54" i="21" s="1"/>
  <c r="Q55" i="21" s="1"/>
  <c r="Q56" i="21" s="1"/>
  <c r="Q57" i="21" s="1"/>
  <c r="Q58" i="21" s="1"/>
  <c r="Q59" i="21" s="1"/>
  <c r="Q60" i="21" s="1"/>
  <c r="Q61" i="21" s="1"/>
  <c r="C8" i="21"/>
  <c r="A8" i="21"/>
  <c r="C7" i="21"/>
  <c r="A7" i="21"/>
  <c r="AH20" i="24" l="1"/>
  <c r="E4" i="24" s="1"/>
  <c r="E3" i="24"/>
  <c r="X44" i="24" s="1"/>
  <c r="U20" i="22"/>
  <c r="X24" i="22" s="1"/>
  <c r="U27" i="21"/>
  <c r="X27" i="21" s="1"/>
  <c r="AA31" i="21" s="1"/>
  <c r="AA20" i="22"/>
  <c r="AD18" i="22" s="1"/>
  <c r="AA46" i="21"/>
  <c r="AG23" i="21"/>
  <c r="AG24" i="21" s="1"/>
  <c r="AA54" i="21"/>
  <c r="AA55" i="21" s="1"/>
  <c r="AA43" i="21"/>
  <c r="AC33" i="9"/>
  <c r="AF28" i="9" s="1"/>
  <c r="AB20" i="20"/>
  <c r="N18" i="20"/>
  <c r="N19" i="20"/>
  <c r="N20" i="20"/>
  <c r="N21" i="20"/>
  <c r="N22" i="20"/>
  <c r="N23" i="20"/>
  <c r="N24" i="20" s="1"/>
  <c r="O18" i="20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O37" i="20" s="1"/>
  <c r="O38" i="20" s="1"/>
  <c r="O39" i="20" s="1"/>
  <c r="O40" i="20" s="1"/>
  <c r="O41" i="20" s="1"/>
  <c r="O42" i="20" s="1"/>
  <c r="O43" i="20" s="1"/>
  <c r="O44" i="20" s="1"/>
  <c r="O45" i="20" s="1"/>
  <c r="O46" i="20" s="1"/>
  <c r="O47" i="20" s="1"/>
  <c r="O48" i="20" s="1"/>
  <c r="O49" i="20" s="1"/>
  <c r="O50" i="20" s="1"/>
  <c r="O51" i="20" s="1"/>
  <c r="O52" i="20" s="1"/>
  <c r="O53" i="20" s="1"/>
  <c r="O54" i="20" s="1"/>
  <c r="O55" i="20" s="1"/>
  <c r="Q25" i="19"/>
  <c r="Q26" i="19"/>
  <c r="Q27" i="19" s="1"/>
  <c r="Q28" i="19" s="1"/>
  <c r="Q29" i="19" s="1"/>
  <c r="Q30" i="19" s="1"/>
  <c r="Q31" i="19" s="1"/>
  <c r="AE29" i="19"/>
  <c r="R24" i="19"/>
  <c r="R25" i="19"/>
  <c r="R26" i="19"/>
  <c r="R27" i="19"/>
  <c r="R28" i="19" s="1"/>
  <c r="R29" i="19" s="1"/>
  <c r="R30" i="19" s="1"/>
  <c r="R31" i="19" s="1"/>
  <c r="R32" i="19" s="1"/>
  <c r="R33" i="19" s="1"/>
  <c r="R34" i="19" s="1"/>
  <c r="R35" i="19" s="1"/>
  <c r="R36" i="19" s="1"/>
  <c r="R37" i="19" s="1"/>
  <c r="R38" i="19" s="1"/>
  <c r="R39" i="19" s="1"/>
  <c r="R40" i="19" s="1"/>
  <c r="R41" i="19" s="1"/>
  <c r="R42" i="19" s="1"/>
  <c r="R43" i="19" s="1"/>
  <c r="R44" i="19" s="1"/>
  <c r="R45" i="19" s="1"/>
  <c r="R46" i="19" s="1"/>
  <c r="R47" i="19" s="1"/>
  <c r="R48" i="19" s="1"/>
  <c r="R49" i="19" s="1"/>
  <c r="R50" i="19" s="1"/>
  <c r="R51" i="19" s="1"/>
  <c r="R52" i="19" s="1"/>
  <c r="R53" i="19" s="1"/>
  <c r="R54" i="19" s="1"/>
  <c r="R55" i="19" s="1"/>
  <c r="R56" i="19" s="1"/>
  <c r="R57" i="19" s="1"/>
  <c r="R58" i="19" s="1"/>
  <c r="R59" i="19" s="1"/>
  <c r="R60" i="19" s="1"/>
  <c r="R61" i="19" s="1"/>
  <c r="R62" i="19" s="1"/>
  <c r="R48" i="20"/>
  <c r="R47" i="20"/>
  <c r="R46" i="20"/>
  <c r="R45" i="20"/>
  <c r="R44" i="20"/>
  <c r="R43" i="20"/>
  <c r="Y42" i="20"/>
  <c r="R42" i="20"/>
  <c r="R41" i="20"/>
  <c r="R40" i="20"/>
  <c r="Y39" i="20"/>
  <c r="R39" i="20"/>
  <c r="R38" i="20"/>
  <c r="R37" i="20"/>
  <c r="R36" i="20"/>
  <c r="R35" i="20"/>
  <c r="Y34" i="20"/>
  <c r="R34" i="20"/>
  <c r="R33" i="20"/>
  <c r="Y31" i="20"/>
  <c r="R32" i="20"/>
  <c r="Y30" i="20"/>
  <c r="Y38" i="20"/>
  <c r="R31" i="20"/>
  <c r="Y29" i="20"/>
  <c r="R30" i="20"/>
  <c r="R29" i="20"/>
  <c r="R28" i="20"/>
  <c r="Y27" i="20"/>
  <c r="Y28" i="20"/>
  <c r="R27" i="20"/>
  <c r="R26" i="20"/>
  <c r="R25" i="20"/>
  <c r="Z24" i="20"/>
  <c r="X24" i="20"/>
  <c r="R24" i="20"/>
  <c r="T21" i="20"/>
  <c r="V18" i="20"/>
  <c r="U18" i="20"/>
  <c r="T18" i="20"/>
  <c r="S21" i="20" s="1"/>
  <c r="V21" i="20" s="1"/>
  <c r="S18" i="20"/>
  <c r="AB55" i="19"/>
  <c r="U55" i="19"/>
  <c r="AB54" i="19"/>
  <c r="U54" i="19"/>
  <c r="U53" i="19"/>
  <c r="U52" i="19"/>
  <c r="U51" i="19"/>
  <c r="U50" i="19"/>
  <c r="AB49" i="19"/>
  <c r="U49" i="19"/>
  <c r="U48" i="19"/>
  <c r="U47" i="19"/>
  <c r="AB46" i="19"/>
  <c r="U46" i="19"/>
  <c r="U45" i="19"/>
  <c r="U44" i="19"/>
  <c r="U43" i="19"/>
  <c r="U42" i="19"/>
  <c r="AB41" i="19"/>
  <c r="U41" i="19"/>
  <c r="U40" i="19"/>
  <c r="AB38" i="19"/>
  <c r="AB39" i="19" s="1"/>
  <c r="AB48" i="19" s="1"/>
  <c r="AE30" i="19" s="1"/>
  <c r="U39" i="19"/>
  <c r="AB37" i="19"/>
  <c r="U38" i="19"/>
  <c r="AB36" i="19"/>
  <c r="U37" i="19"/>
  <c r="U36" i="19"/>
  <c r="U35" i="19"/>
  <c r="AB34" i="19"/>
  <c r="AB35" i="19"/>
  <c r="U34" i="19"/>
  <c r="U33" i="19"/>
  <c r="U32" i="19"/>
  <c r="AC31" i="19"/>
  <c r="AA31" i="19"/>
  <c r="U31" i="19"/>
  <c r="W28" i="19"/>
  <c r="Y25" i="19"/>
  <c r="X25" i="19"/>
  <c r="W25" i="19"/>
  <c r="V25" i="19"/>
  <c r="V28" i="19"/>
  <c r="Y28" i="19" s="1"/>
  <c r="C8" i="19"/>
  <c r="A8" i="19"/>
  <c r="C7" i="19"/>
  <c r="A7" i="19"/>
  <c r="Y32" i="20"/>
  <c r="Y41" i="20"/>
  <c r="AB21" i="20"/>
  <c r="AB45" i="19"/>
  <c r="AB56" i="19"/>
  <c r="AB57" i="19"/>
  <c r="X33" i="14"/>
  <c r="AB41" i="13"/>
  <c r="Q47" i="18"/>
  <c r="Q46" i="18"/>
  <c r="Q45" i="18"/>
  <c r="Q44" i="18"/>
  <c r="Q43" i="18"/>
  <c r="Q42" i="18"/>
  <c r="X41" i="18"/>
  <c r="Q41" i="18"/>
  <c r="Q40" i="18"/>
  <c r="Q39" i="18"/>
  <c r="X38" i="18"/>
  <c r="Q38" i="18"/>
  <c r="Q37" i="18"/>
  <c r="Q36" i="18"/>
  <c r="Q35" i="18"/>
  <c r="Q34" i="18"/>
  <c r="X33" i="18"/>
  <c r="Q33" i="18"/>
  <c r="Q32" i="18"/>
  <c r="X31" i="18"/>
  <c r="X40" i="18" s="1"/>
  <c r="Q31" i="18"/>
  <c r="X30" i="18"/>
  <c r="X37" i="18"/>
  <c r="AA20" i="18" s="1"/>
  <c r="AD18" i="18" s="1"/>
  <c r="Q30" i="18"/>
  <c r="X29" i="18"/>
  <c r="Q29" i="18"/>
  <c r="Q28" i="18"/>
  <c r="Q27" i="18"/>
  <c r="X26" i="18"/>
  <c r="X27" i="18" s="1"/>
  <c r="Q26" i="18"/>
  <c r="Q25" i="18"/>
  <c r="Q24" i="18"/>
  <c r="Y23" i="18"/>
  <c r="W23" i="18"/>
  <c r="Q23" i="18"/>
  <c r="S20" i="18"/>
  <c r="AA19" i="18"/>
  <c r="U17" i="18"/>
  <c r="T17" i="18"/>
  <c r="S17" i="18"/>
  <c r="R20" i="18" s="1"/>
  <c r="U20" i="18" s="1"/>
  <c r="R17" i="18"/>
  <c r="AB55" i="17"/>
  <c r="U55" i="17"/>
  <c r="AB54" i="17"/>
  <c r="U54" i="17"/>
  <c r="U53" i="17"/>
  <c r="U52" i="17"/>
  <c r="U51" i="17"/>
  <c r="U50" i="17"/>
  <c r="AB49" i="17"/>
  <c r="U49" i="17"/>
  <c r="U48" i="17"/>
  <c r="U47" i="17"/>
  <c r="AB46" i="17"/>
  <c r="U46" i="17"/>
  <c r="U45" i="17"/>
  <c r="U44" i="17"/>
  <c r="U43" i="17"/>
  <c r="U42" i="17"/>
  <c r="AB41" i="17"/>
  <c r="U41" i="17"/>
  <c r="U40" i="17"/>
  <c r="AB39" i="17"/>
  <c r="AB48" i="17" s="1"/>
  <c r="U39" i="17"/>
  <c r="AB38" i="17"/>
  <c r="U38" i="17"/>
  <c r="AB37" i="17"/>
  <c r="U37" i="17"/>
  <c r="U36" i="17"/>
  <c r="U35" i="17"/>
  <c r="AB34" i="17"/>
  <c r="AB35" i="17"/>
  <c r="U34" i="17"/>
  <c r="U33" i="17"/>
  <c r="U32" i="17"/>
  <c r="AC31" i="17"/>
  <c r="AA31" i="17"/>
  <c r="U31" i="17"/>
  <c r="AE29" i="17"/>
  <c r="AH24" i="17"/>
  <c r="AH25" i="17"/>
  <c r="W28" i="17"/>
  <c r="V28" i="17"/>
  <c r="Y28" i="17" s="1"/>
  <c r="Y25" i="17"/>
  <c r="X25" i="17"/>
  <c r="W25" i="17"/>
  <c r="V25" i="17"/>
  <c r="C9" i="17"/>
  <c r="A9" i="17"/>
  <c r="C8" i="17"/>
  <c r="A8" i="17"/>
  <c r="AB57" i="17"/>
  <c r="AD16" i="18"/>
  <c r="AD17" i="18"/>
  <c r="AB45" i="17"/>
  <c r="AB56" i="17"/>
  <c r="AB58" i="17" s="1"/>
  <c r="X41" i="14"/>
  <c r="AA19" i="14"/>
  <c r="AD16" i="14" s="1"/>
  <c r="AD17" i="14" s="1"/>
  <c r="W23" i="14"/>
  <c r="Y23" i="14"/>
  <c r="X26" i="14"/>
  <c r="X27" i="14" s="1"/>
  <c r="X29" i="14"/>
  <c r="X30" i="14"/>
  <c r="X37" i="14"/>
  <c r="X3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S20" i="14"/>
  <c r="U17" i="14"/>
  <c r="T17" i="14"/>
  <c r="S17" i="14"/>
  <c r="R17" i="14"/>
  <c r="X31" i="14"/>
  <c r="X40" i="14" s="1"/>
  <c r="AA20" i="14" s="1"/>
  <c r="R20" i="14"/>
  <c r="U20" i="14" s="1"/>
  <c r="AB55" i="13"/>
  <c r="U55" i="13"/>
  <c r="AB54" i="13"/>
  <c r="U54" i="13"/>
  <c r="U53" i="13"/>
  <c r="U52" i="13"/>
  <c r="U51" i="13"/>
  <c r="U50" i="13"/>
  <c r="AB49" i="13"/>
  <c r="U49" i="13"/>
  <c r="U48" i="13"/>
  <c r="U47" i="13"/>
  <c r="AB46" i="13"/>
  <c r="U46" i="13"/>
  <c r="U45" i="13"/>
  <c r="U44" i="13"/>
  <c r="U43" i="13"/>
  <c r="U42" i="13"/>
  <c r="U41" i="13"/>
  <c r="U40" i="13"/>
  <c r="AB39" i="13"/>
  <c r="AB48" i="13" s="1"/>
  <c r="U39" i="13"/>
  <c r="AB38" i="13"/>
  <c r="AB45" i="13" s="1"/>
  <c r="U38" i="13"/>
  <c r="AB37" i="13"/>
  <c r="U37" i="13"/>
  <c r="U36" i="13"/>
  <c r="U35" i="13"/>
  <c r="AB34" i="13"/>
  <c r="AB35" i="13" s="1"/>
  <c r="U34" i="13"/>
  <c r="U33" i="13"/>
  <c r="U32" i="13"/>
  <c r="AC31" i="13"/>
  <c r="AA31" i="13"/>
  <c r="U31" i="13"/>
  <c r="AE29" i="13"/>
  <c r="AH24" i="13"/>
  <c r="AH25" i="13" s="1"/>
  <c r="W28" i="13"/>
  <c r="Y25" i="13"/>
  <c r="X25" i="13"/>
  <c r="V28" i="13" s="1"/>
  <c r="W25" i="13"/>
  <c r="V25" i="13"/>
  <c r="C9" i="13"/>
  <c r="A9" i="13"/>
  <c r="C8" i="13"/>
  <c r="A8" i="13"/>
  <c r="A9" i="9"/>
  <c r="S59" i="9"/>
  <c r="Z58" i="9"/>
  <c r="S58" i="9"/>
  <c r="S57" i="9"/>
  <c r="S56" i="9"/>
  <c r="S55" i="9"/>
  <c r="S54" i="9"/>
  <c r="Z53" i="9"/>
  <c r="S53" i="9"/>
  <c r="S52" i="9"/>
  <c r="S51" i="9"/>
  <c r="Z50" i="9"/>
  <c r="S50" i="9"/>
  <c r="S49" i="9"/>
  <c r="S48" i="9"/>
  <c r="S47" i="9"/>
  <c r="S46" i="9"/>
  <c r="Z45" i="9"/>
  <c r="S45" i="9"/>
  <c r="S44" i="9"/>
  <c r="S43" i="9"/>
  <c r="Z42" i="9"/>
  <c r="S42" i="9"/>
  <c r="Z41" i="9"/>
  <c r="Z59" i="9"/>
  <c r="Z60" i="9" s="1"/>
  <c r="Z62" i="9" s="1"/>
  <c r="S41" i="9"/>
  <c r="S40" i="9"/>
  <c r="S39" i="9"/>
  <c r="Z38" i="9"/>
  <c r="Z39" i="9" s="1"/>
  <c r="S38" i="9"/>
  <c r="S37" i="9"/>
  <c r="S36" i="9"/>
  <c r="AA35" i="9"/>
  <c r="Y35" i="9"/>
  <c r="S35" i="9"/>
  <c r="U32" i="9"/>
  <c r="W29" i="9"/>
  <c r="V29" i="9"/>
  <c r="U29" i="9"/>
  <c r="T29" i="9"/>
  <c r="Z43" i="9"/>
  <c r="C9" i="9"/>
  <c r="C8" i="9"/>
  <c r="A8" i="9"/>
  <c r="T32" i="9"/>
  <c r="W32" i="9" s="1"/>
  <c r="Z52" i="9"/>
  <c r="Z49" i="9"/>
  <c r="AC34" i="9" s="1"/>
  <c r="Y25" i="20" l="1"/>
  <c r="AE17" i="20"/>
  <c r="AE18" i="20" s="1"/>
  <c r="AE19" i="20" s="1"/>
  <c r="AE20" i="20" s="1"/>
  <c r="AG17" i="20" s="1"/>
  <c r="AG18" i="20" s="1"/>
  <c r="AG19" i="20" s="1"/>
  <c r="AG20" i="20" s="1"/>
  <c r="AI17" i="20" s="1"/>
  <c r="AB32" i="19"/>
  <c r="AH24" i="19"/>
  <c r="AH25" i="19" s="1"/>
  <c r="AH26" i="19" s="1"/>
  <c r="AH27" i="19" s="1"/>
  <c r="AJ24" i="19" s="1"/>
  <c r="AJ25" i="19" s="1"/>
  <c r="AJ26" i="19" s="1"/>
  <c r="AJ27" i="19" s="1"/>
  <c r="AL24" i="19" s="1"/>
  <c r="X24" i="18"/>
  <c r="AD19" i="18"/>
  <c r="AF16" i="18" s="1"/>
  <c r="AF17" i="18" s="1"/>
  <c r="AF18" i="18" s="1"/>
  <c r="AF19" i="18" s="1"/>
  <c r="AH16" i="18" s="1"/>
  <c r="AE30" i="17"/>
  <c r="AB32" i="17"/>
  <c r="AH26" i="17"/>
  <c r="AH27" i="17" s="1"/>
  <c r="AJ24" i="17" s="1"/>
  <c r="AJ25" i="17" s="1"/>
  <c r="AJ26" i="17" s="1"/>
  <c r="AJ27" i="17" s="1"/>
  <c r="AL24" i="17" s="1"/>
  <c r="X24" i="14"/>
  <c r="AD18" i="14"/>
  <c r="AD19" i="14" s="1"/>
  <c r="AF16" i="14" s="1"/>
  <c r="AF17" i="14" s="1"/>
  <c r="AF18" i="14" s="1"/>
  <c r="AF19" i="14" s="1"/>
  <c r="AH16" i="14" s="1"/>
  <c r="AB57" i="13"/>
  <c r="Z36" i="9"/>
  <c r="AF29" i="9"/>
  <c r="AF30" i="9" s="1"/>
  <c r="AF31" i="9" s="1"/>
  <c r="Z61" i="9"/>
  <c r="AH28" i="9"/>
  <c r="AH29" i="9" s="1"/>
  <c r="AH30" i="9" s="1"/>
  <c r="AH31" i="9" s="1"/>
  <c r="AJ28" i="9" s="1"/>
  <c r="Y28" i="13"/>
  <c r="AB32" i="13" s="1"/>
  <c r="AB56" i="13"/>
  <c r="AB58" i="13" s="1"/>
  <c r="AD19" i="22"/>
  <c r="AF16" i="22" s="1"/>
  <c r="AF17" i="22" s="1"/>
  <c r="AF18" i="22" s="1"/>
  <c r="AF19" i="22" s="1"/>
  <c r="AH16" i="22" s="1"/>
  <c r="AD29" i="21"/>
  <c r="AG25" i="21" s="1"/>
  <c r="AG26" i="21" s="1"/>
  <c r="AI23" i="21" s="1"/>
  <c r="AI24" i="21" s="1"/>
  <c r="AI25" i="21" s="1"/>
  <c r="AI26" i="21" s="1"/>
  <c r="AK23" i="21" s="1"/>
  <c r="AI18" i="20" l="1"/>
  <c r="AI19" i="20" s="1"/>
  <c r="Y37" i="20"/>
  <c r="Y40" i="20" s="1"/>
  <c r="AB44" i="19"/>
  <c r="AB47" i="19" s="1"/>
  <c r="AL25" i="19"/>
  <c r="AL26" i="19" s="1"/>
  <c r="AH17" i="18"/>
  <c r="AH18" i="18" s="1"/>
  <c r="X36" i="18"/>
  <c r="X39" i="18" s="1"/>
  <c r="AB44" i="17"/>
  <c r="AB47" i="17" s="1"/>
  <c r="AL25" i="17"/>
  <c r="AL26" i="17" s="1"/>
  <c r="AH17" i="14"/>
  <c r="AH18" i="14" s="1"/>
  <c r="X36" i="14"/>
  <c r="X39" i="14" s="1"/>
  <c r="AE30" i="13"/>
  <c r="AH26" i="13" s="1"/>
  <c r="AH27" i="13" s="1"/>
  <c r="AJ24" i="13" s="1"/>
  <c r="AJ25" i="13" s="1"/>
  <c r="AJ26" i="13" s="1"/>
  <c r="AJ27" i="13" s="1"/>
  <c r="AJ29" i="9"/>
  <c r="AJ30" i="9" s="1"/>
  <c r="Z48" i="9"/>
  <c r="Z51" i="9" s="1"/>
  <c r="X35" i="22"/>
  <c r="X38" i="22" s="1"/>
  <c r="AH17" i="22"/>
  <c r="AH18" i="22" s="1"/>
  <c r="E3" i="22" s="1"/>
  <c r="X42" i="22" s="1"/>
  <c r="AK24" i="21"/>
  <c r="AK25" i="21" s="1"/>
  <c r="AA42" i="21"/>
  <c r="AA45" i="21" s="1"/>
  <c r="AI20" i="20" l="1"/>
  <c r="E4" i="20" s="1"/>
  <c r="E3" i="20"/>
  <c r="Y44" i="20" s="1"/>
  <c r="AL27" i="19"/>
  <c r="E4" i="19" s="1"/>
  <c r="E3" i="19"/>
  <c r="AH19" i="18"/>
  <c r="E4" i="18" s="1"/>
  <c r="E3" i="18"/>
  <c r="X43" i="18" s="1"/>
  <c r="AL27" i="17"/>
  <c r="E4" i="17" s="1"/>
  <c r="E3" i="17"/>
  <c r="AH19" i="14"/>
  <c r="E4" i="14" s="1"/>
  <c r="E3" i="14"/>
  <c r="X43" i="14" s="1"/>
  <c r="AL24" i="13"/>
  <c r="AL25" i="13" s="1"/>
  <c r="AL26" i="13" s="1"/>
  <c r="AJ31" i="9"/>
  <c r="E4" i="9" s="1"/>
  <c r="E3" i="9"/>
  <c r="AB44" i="13"/>
  <c r="AB47" i="13" s="1"/>
  <c r="AH19" i="22"/>
  <c r="E4" i="22" s="1"/>
  <c r="AK26" i="21"/>
  <c r="E4" i="21" s="1"/>
  <c r="E3" i="21"/>
  <c r="AL27" i="13" l="1"/>
  <c r="E4" i="13" s="1"/>
  <c r="E3" i="13"/>
</calcChain>
</file>

<file path=xl/sharedStrings.xml><?xml version="1.0" encoding="utf-8"?>
<sst xmlns="http://schemas.openxmlformats.org/spreadsheetml/2006/main" count="2532" uniqueCount="218">
  <si>
    <t>MCT8316Z Trapezoidal Thermal Calculator</t>
  </si>
  <si>
    <t xml:space="preserve">Directions - Fill in all yellow boxes with known motor system parameters for the MCT8316Z. </t>
  </si>
  <si>
    <t>Electrical Parameters</t>
  </si>
  <si>
    <t>MCT8316Z</t>
  </si>
  <si>
    <t>Unit</t>
  </si>
  <si>
    <t>Estimated Results</t>
  </si>
  <si>
    <t>Value</t>
  </si>
  <si>
    <r>
      <t>DC Input Voltage [V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]</t>
    </r>
  </si>
  <si>
    <t>V</t>
  </si>
  <si>
    <t>Total Losses</t>
  </si>
  <si>
    <t>W</t>
  </si>
  <si>
    <r>
      <t>Motor Winding RMS Current [I</t>
    </r>
    <r>
      <rPr>
        <vertAlign val="subscript"/>
        <sz val="11"/>
        <color theme="1"/>
        <rFont val="Calibri"/>
        <family val="2"/>
        <scheme val="minor"/>
      </rPr>
      <t>rms(trap)</t>
    </r>
    <r>
      <rPr>
        <sz val="11"/>
        <color theme="1"/>
        <rFont val="Calibri"/>
        <family val="2"/>
        <scheme val="minor"/>
      </rPr>
      <t>]</t>
    </r>
  </si>
  <si>
    <t>A</t>
  </si>
  <si>
    <t>Junction Temperature</t>
  </si>
  <si>
    <r>
      <rPr>
        <sz val="11"/>
        <color theme="1"/>
        <rFont val="Calibri"/>
        <family val="2"/>
      </rPr>
      <t>°</t>
    </r>
    <r>
      <rPr>
        <sz val="9.35"/>
        <color theme="1"/>
        <rFont val="Calibri"/>
        <family val="2"/>
      </rPr>
      <t>C</t>
    </r>
  </si>
  <si>
    <t>Active Demagnetization Enabled?</t>
  </si>
  <si>
    <t>No</t>
  </si>
  <si>
    <t>-</t>
  </si>
  <si>
    <t>Motor Winding Configuration</t>
  </si>
  <si>
    <t>Delta</t>
  </si>
  <si>
    <r>
      <t>Commutation time [t</t>
    </r>
    <r>
      <rPr>
        <vertAlign val="subscript"/>
        <sz val="11"/>
        <rFont val="Calibri"/>
        <family val="2"/>
        <scheme val="minor"/>
      </rPr>
      <t>comm</t>
    </r>
    <r>
      <rPr>
        <sz val="11"/>
        <rFont val="Calibri"/>
        <family val="2"/>
        <scheme val="minor"/>
      </rPr>
      <t>]</t>
    </r>
  </si>
  <si>
    <t>us</t>
  </si>
  <si>
    <r>
      <t>Motor Electrical Frequency [f</t>
    </r>
    <r>
      <rPr>
        <vertAlign val="subscript"/>
        <sz val="11"/>
        <color theme="1"/>
        <rFont val="Calibri"/>
        <family val="2"/>
        <scheme val="minor"/>
      </rPr>
      <t>ele</t>
    </r>
    <r>
      <rPr>
        <sz val="11"/>
        <color theme="1"/>
        <rFont val="Calibri"/>
        <family val="2"/>
        <scheme val="minor"/>
      </rPr>
      <t>]</t>
    </r>
  </si>
  <si>
    <t>Hz</t>
  </si>
  <si>
    <r>
      <t>PWM Frequency [f</t>
    </r>
    <r>
      <rPr>
        <vertAlign val="subscript"/>
        <sz val="11"/>
        <color theme="1"/>
        <rFont val="Calibri"/>
        <family val="2"/>
        <scheme val="minor"/>
      </rPr>
      <t>pwm</t>
    </r>
    <r>
      <rPr>
        <sz val="11"/>
        <color theme="1"/>
        <rFont val="Calibri"/>
        <family val="2"/>
        <scheme val="minor"/>
      </rPr>
      <t>]</t>
    </r>
  </si>
  <si>
    <t>kHz</t>
  </si>
  <si>
    <t>Switching Slew Rate (SR)</t>
  </si>
  <si>
    <t>V/us</t>
  </si>
  <si>
    <r>
      <t>AVDD output current (I</t>
    </r>
    <r>
      <rPr>
        <vertAlign val="subscript"/>
        <sz val="11"/>
        <color theme="1"/>
        <rFont val="Calibri"/>
        <family val="2"/>
        <scheme val="minor"/>
      </rPr>
      <t>AVDD</t>
    </r>
    <r>
      <rPr>
        <sz val="11"/>
        <color theme="1"/>
        <rFont val="Calibri"/>
        <family val="2"/>
        <scheme val="minor"/>
      </rPr>
      <t>)</t>
    </r>
  </si>
  <si>
    <t>mA</t>
  </si>
  <si>
    <t>Ambient Temperature</t>
  </si>
  <si>
    <t>PCB Specification</t>
  </si>
  <si>
    <t>PCB Layers</t>
  </si>
  <si>
    <t>#</t>
  </si>
  <si>
    <t>Top/Bottom Layers Cu Thickness (if PCB more than 2 layers, internal layers assume 1 oz Cu thickness)</t>
  </si>
  <si>
    <t>oz</t>
  </si>
  <si>
    <t>PCB Area</t>
  </si>
  <si>
    <r>
      <t>cm</t>
    </r>
    <r>
      <rPr>
        <sz val="11"/>
        <color theme="1"/>
        <rFont val="Calibri"/>
        <family val="2"/>
      </rPr>
      <t>²</t>
    </r>
  </si>
  <si>
    <t>NOTE: MCT8316Z trapezoidal thermal calculator assumes synchronous modulation switching and typical datasheet values</t>
  </si>
  <si>
    <t>Parameter Name</t>
  </si>
  <si>
    <t>PCB Thickness - Top/Bottom</t>
  </si>
  <si>
    <t>PCB Thickness - Internal</t>
  </si>
  <si>
    <t>Slew Rate</t>
  </si>
  <si>
    <t>Dead time</t>
  </si>
  <si>
    <t>PWM Freq</t>
  </si>
  <si>
    <t>AD enabled?</t>
  </si>
  <si>
    <t>Winding type</t>
  </si>
  <si>
    <t>User Thicknesses</t>
  </si>
  <si>
    <t xml:space="preserve">Supply Current </t>
  </si>
  <si>
    <t>Iteration 1</t>
  </si>
  <si>
    <t>Iteration 2</t>
  </si>
  <si>
    <t>Iteration 3</t>
  </si>
  <si>
    <t>Yes</t>
  </si>
  <si>
    <t>Top</t>
  </si>
  <si>
    <t>Internal</t>
  </si>
  <si>
    <t xml:space="preserve">Internal  </t>
  </si>
  <si>
    <t>Bottom</t>
  </si>
  <si>
    <t>Modulation Index</t>
  </si>
  <si>
    <t>RDS_ON @ TA</t>
  </si>
  <si>
    <t>RDS_ON @ TJ1</t>
  </si>
  <si>
    <t>RDS_ON @ TJ2</t>
  </si>
  <si>
    <t>Wye</t>
  </si>
  <si>
    <t>Active Current @ 25C</t>
  </si>
  <si>
    <t>Pcond @ ITR1</t>
  </si>
  <si>
    <t>Pcond @ ITR2</t>
  </si>
  <si>
    <t>Pcond @ ITR3</t>
  </si>
  <si>
    <t>User inputs</t>
  </si>
  <si>
    <t>User Outputs</t>
  </si>
  <si>
    <t>Active Current @ 150C</t>
  </si>
  <si>
    <t>(Average between 25C and 150C)</t>
  </si>
  <si>
    <t>Ploss @ITR1</t>
  </si>
  <si>
    <t>Ploss @ITR2</t>
  </si>
  <si>
    <t>Ploss @ITR3</t>
  </si>
  <si>
    <t>Notation</t>
  </si>
  <si>
    <t>PCB area</t>
  </si>
  <si>
    <t>Algorithm</t>
  </si>
  <si>
    <t>Theta JA (°C/W)</t>
  </si>
  <si>
    <t>Rdson @ 25C per FET</t>
  </si>
  <si>
    <t>mohms</t>
  </si>
  <si>
    <t>TJ1 @ ITR1</t>
  </si>
  <si>
    <t>TJ2 @ ITR2</t>
  </si>
  <si>
    <t>TJ3 @ ITR3</t>
  </si>
  <si>
    <t>Rdson @ 125C per FET</t>
  </si>
  <si>
    <t>PCB Theta JA lookup</t>
  </si>
  <si>
    <t>C</t>
  </si>
  <si>
    <t>Rdson/temp</t>
  </si>
  <si>
    <t>helper</t>
  </si>
  <si>
    <t>PCB area (cm2)</t>
  </si>
  <si>
    <t>Theta JA (°C/W)(</t>
  </si>
  <si>
    <t>Gate Charge</t>
  </si>
  <si>
    <t>nC</t>
  </si>
  <si>
    <t>Ploss others (P_STBY+P_FET_SW+P_FET_GC+P_DIODE+P_LDO+P_BUCK+P_AD)</t>
  </si>
  <si>
    <t>1,1</t>
  </si>
  <si>
    <t>2,2</t>
  </si>
  <si>
    <t xml:space="preserve">Theta JA </t>
  </si>
  <si>
    <t>C/W</t>
  </si>
  <si>
    <t>1,1,1,1</t>
  </si>
  <si>
    <t>2,1,1,2</t>
  </si>
  <si>
    <t xml:space="preserve"> Peak Voltage (FOC)</t>
  </si>
  <si>
    <t>RMS Voltage (FOC) per phase</t>
  </si>
  <si>
    <t xml:space="preserve">Peak Current per phase </t>
  </si>
  <si>
    <t>Rise/Fall Time</t>
  </si>
  <si>
    <t>Dead time (automatically configured from device's Slew Rate setting)</t>
  </si>
  <si>
    <t>Standby Power</t>
  </si>
  <si>
    <t>Total Standby Power</t>
  </si>
  <si>
    <t>Driver (Trap)</t>
  </si>
  <si>
    <t>FET Conduction Losses</t>
  </si>
  <si>
    <t>P_FET_C = 2*Ipk *Ipk * RDS_ON</t>
  </si>
  <si>
    <t>FET Switching Losses</t>
  </si>
  <si>
    <t xml:space="preserve">PFET_SW = VM * Ipk * (Trise or Tfall)* Fpwm </t>
  </si>
  <si>
    <t>FET gate charge</t>
  </si>
  <si>
    <t>P_GC = GateCharge*5*fPWM</t>
  </si>
  <si>
    <t>Total FET Losses (Trap)</t>
  </si>
  <si>
    <t>Diode loss in dead time</t>
  </si>
  <si>
    <t>PDIODE = 2 * VF * Ipk *Fpwm * DEAD_TIME</t>
  </si>
  <si>
    <t>LDO Power Loss</t>
  </si>
  <si>
    <t>P_LDO = (VM-3.3V)*IAVDD*0.001</t>
  </si>
  <si>
    <t>Total Buck power loss</t>
  </si>
  <si>
    <t>assumed</t>
  </si>
  <si>
    <t>3,1,1,3</t>
  </si>
  <si>
    <t>Active Demag (Trap)</t>
  </si>
  <si>
    <t>Back-EMF</t>
  </si>
  <si>
    <t>Commutation time</t>
  </si>
  <si>
    <t>tcomm[Wye] = Ipk*3*Lmotor/(VM+(2*EB))</t>
  </si>
  <si>
    <t xml:space="preserve"> tcomm[Delta] = ipk * Ls /(VM+EB) </t>
  </si>
  <si>
    <t>Diode Losses (AD = 0)</t>
  </si>
  <si>
    <t>P_diode = 6 * 0.5 * VFB * Ipk * tcomm * felec</t>
  </si>
  <si>
    <t>FET Losses (AD = 1)</t>
  </si>
  <si>
    <t>P_FET = 6*(1/3)*Ipk*Ipk*RDS_ON*tcomm*Fele</t>
  </si>
  <si>
    <t>Total AD Losses</t>
  </si>
  <si>
    <t>DRV8316 Trapezoidal Thermal Calculator</t>
  </si>
  <si>
    <t>Directions - Fill in all yellow boxes with known motor system parameters for the DRV8316.</t>
  </si>
  <si>
    <t>DRV8316</t>
  </si>
  <si>
    <t>NOTE: DRV8316 trapezoidal thermal calculator assumes synchronous modulation switching and typical datasheet values.  Assume buck output LC filter (LBK = 47 uH, CBK = 22 µF).</t>
  </si>
  <si>
    <t>Active Current @ 75kHz, &lt;6V</t>
  </si>
  <si>
    <t>Worst case on 75kHz frequemcy interpolation</t>
  </si>
  <si>
    <t>Active Current @ 75kHz, &gt;6V</t>
  </si>
  <si>
    <t>Worst case on 75kHz frequency interpolation</t>
  </si>
  <si>
    <t>Rdson @ 150C per FET</t>
  </si>
  <si>
    <t>DRV8316 Field-Oriented Control (FOC) Thermal Calculator</t>
  </si>
  <si>
    <r>
      <t>Motor Winding RMS Current [I</t>
    </r>
    <r>
      <rPr>
        <vertAlign val="subscript"/>
        <sz val="11"/>
        <color theme="1"/>
        <rFont val="Calibri"/>
        <family val="2"/>
        <scheme val="minor"/>
      </rPr>
      <t>rms(FOC)</t>
    </r>
    <r>
      <rPr>
        <sz val="11"/>
        <color theme="1"/>
        <rFont val="Calibri"/>
        <family val="2"/>
        <scheme val="minor"/>
      </rPr>
      <t>]</t>
    </r>
  </si>
  <si>
    <t>PWM Modulation</t>
  </si>
  <si>
    <t>Discontinuous</t>
  </si>
  <si>
    <t>NOTE: DRV8316 FOC thermal calculatorassumes synchronous modulation switching and typical datasheet values. Assume buck output LC filter (LBK = 47 uH, CBK = 22 µF)</t>
  </si>
  <si>
    <t>PWM Mod?</t>
  </si>
  <si>
    <t>Continuous</t>
  </si>
  <si>
    <t>Ploss others (P_STBY+P_FET_SW+P_FET_GC+P_DIODE+P_LDO+P_BUCK)</t>
  </si>
  <si>
    <t>Dead time (determined by device's OUTx slew rate)</t>
  </si>
  <si>
    <t>Driver (FOC)</t>
  </si>
  <si>
    <t>Total FET Losses (FOC)</t>
  </si>
  <si>
    <t>Output Power (FOC)</t>
  </si>
  <si>
    <t>MCT8316A Trapezoidal Thermal Calculator</t>
  </si>
  <si>
    <t>Directions - Fill in all yellow boxes with known motor system parameters for the MCT8316A.</t>
  </si>
  <si>
    <t>MCT8316A</t>
  </si>
  <si>
    <t>NOTE: MCT8316A trapezoidal thermal calculator assumes synchronous modulation switching and typical datasheet values. Assume buck output LC filter (LBK = 47 uH, CBK = 22 µF)</t>
  </si>
  <si>
    <t>Active Current @ 25kHz, LBK = 22ohm</t>
  </si>
  <si>
    <t>Assume worst case with LBK at VM=12V</t>
  </si>
  <si>
    <t>MCF8316A Field-Oriented Control (FOC) Thermal Calculator</t>
  </si>
  <si>
    <t>Directions - Fill in all yellow boxes with known motor system parameters for the MCF8316A.</t>
  </si>
  <si>
    <t>MCF8316A</t>
  </si>
  <si>
    <t>NOTE: MCF8316A trapezoidal thermal calculator assumes synchronous modulation switching and typical datasheet values. Assume buck output LC filter (LBK = 47 uH, CBK = 22 µF)</t>
  </si>
  <si>
    <t>DRV8311 Trapezoidal Thermal Calculator</t>
  </si>
  <si>
    <t>Directions - Fill in all yellow boxes with known motor system parameters for the DRV8311.</t>
  </si>
  <si>
    <t>DRV8311</t>
  </si>
  <si>
    <r>
      <t>Dead Time [t</t>
    </r>
    <r>
      <rPr>
        <vertAlign val="subscript"/>
        <sz val="11"/>
        <color theme="1"/>
        <rFont val="Calibri"/>
        <family val="2"/>
        <scheme val="minor"/>
      </rPr>
      <t>dead</t>
    </r>
    <r>
      <rPr>
        <sz val="11"/>
        <color theme="1"/>
        <rFont val="Calibri"/>
        <family val="2"/>
        <scheme val="minor"/>
      </rPr>
      <t>] (SPI/tSPI variant only)</t>
    </r>
  </si>
  <si>
    <t>ns</t>
  </si>
  <si>
    <t>NOTE: DRV8311 trapezoidal thermal calculator assumes synchronous modulation switching and typical datasheet values.</t>
  </si>
  <si>
    <t>H/W Dead time</t>
  </si>
  <si>
    <t>SPI/tSPI dead time</t>
  </si>
  <si>
    <t xml:space="preserve">Active Current </t>
  </si>
  <si>
    <t>Assume average 11mA across temperature and VM range</t>
  </si>
  <si>
    <t>Rdson @ 25C per FET, 3-6V</t>
  </si>
  <si>
    <t>Rdson @ 150C per FET, 3-6V</t>
  </si>
  <si>
    <t>Rdson @ 25C per FET, &gt;6V</t>
  </si>
  <si>
    <t>Rdson @ 150C per FET, &gt;6V</t>
  </si>
  <si>
    <t>Dead time automatically configured from device's Slew Rate setting</t>
  </si>
  <si>
    <t>Driver dead time (longer of SR vs tDEAD setting)</t>
  </si>
  <si>
    <t>Body diode losses</t>
  </si>
  <si>
    <t>Total diode Losses</t>
  </si>
  <si>
    <t>DRV8311 Field-Oriented Control (FOC) Thermal Calculator</t>
  </si>
  <si>
    <t>NOTE: DRV8311 FOC thermal calculator assumes synchronous modulation switching and typical datasheet values.</t>
  </si>
  <si>
    <t>DRV8317 Trapezoidal Thermal Calculator</t>
  </si>
  <si>
    <t>Directions - Fill in all yellow boxes with known motor system parameters for the DRV8317.</t>
  </si>
  <si>
    <t>DRV8317</t>
  </si>
  <si>
    <t>NOTE: DRV8317 trapezoidal thermal calculator assumes synchronous modulation switching and typical datasheet values.</t>
  </si>
  <si>
    <t xml:space="preserve"> Dead time</t>
  </si>
  <si>
    <t>Rdson @ 25C per FET, 4-6V</t>
  </si>
  <si>
    <t>Rdson @ 125C per FET, 4-6V</t>
  </si>
  <si>
    <t>Rdson @ 125C per FET, &gt;6V</t>
  </si>
  <si>
    <t>Driver dead time (based from SR)</t>
  </si>
  <si>
    <t>Assume average 10mA across temperature and VM range</t>
  </si>
  <si>
    <t>DRV8317 Field-Oriented Control (FOC) Thermal Calculator</t>
  </si>
  <si>
    <t>NOTE: DRV8317 FOC thermal calculator assumes typical datasheet values.</t>
  </si>
  <si>
    <t>LDO Power Loss (AVDD)</t>
  </si>
  <si>
    <r>
      <t>GVDD output current (I</t>
    </r>
    <r>
      <rPr>
        <vertAlign val="subscript"/>
        <sz val="11"/>
        <color theme="1"/>
        <rFont val="Calibri"/>
        <family val="2"/>
        <scheme val="minor"/>
      </rPr>
      <t>GVDD</t>
    </r>
    <r>
      <rPr>
        <sz val="11"/>
        <color theme="1"/>
        <rFont val="Calibri"/>
        <family val="2"/>
        <scheme val="minor"/>
      </rPr>
      <t>)</t>
    </r>
  </si>
  <si>
    <t>LDO Power Loss (GVDD)</t>
  </si>
  <si>
    <t>P_LDO = (VM-3.3V)*IGVDD*0.001</t>
  </si>
  <si>
    <t>DRV8376 Trapezoidal Thermal Calculator</t>
  </si>
  <si>
    <t>Directions - Fill in all yellow boxes with known motor system parameters for the DRV8376.</t>
  </si>
  <si>
    <t>DRV8376</t>
  </si>
  <si>
    <r>
      <t>Motor Winding RMS Current [I</t>
    </r>
    <r>
      <rPr>
        <vertAlign val="subscript"/>
        <sz val="11"/>
        <color theme="1"/>
        <rFont val="Calibri"/>
        <family val="2"/>
        <scheme val="minor"/>
      </rPr>
      <t>rms(trap)</t>
    </r>
    <r>
      <rPr>
        <sz val="11"/>
        <color theme="1"/>
        <rFont val="Calibri"/>
        <family val="2"/>
        <scheme val="minor"/>
      </rPr>
      <t>]                                                Enter a value from 0A to 4.5A</t>
    </r>
  </si>
  <si>
    <r>
      <t>PWM Frequency [f</t>
    </r>
    <r>
      <rPr>
        <vertAlign val="subscript"/>
        <sz val="11"/>
        <color theme="1"/>
        <rFont val="Calibri"/>
        <family val="2"/>
        <scheme val="minor"/>
      </rPr>
      <t>pwm</t>
    </r>
    <r>
      <rPr>
        <sz val="11"/>
        <color theme="1"/>
        <rFont val="Calibri"/>
        <family val="2"/>
        <scheme val="minor"/>
      </rPr>
      <t>]                              Select from the drop down list a  value from 10kHz to 100kHz</t>
    </r>
  </si>
  <si>
    <t>NOTE: DRV8376 trapezoidal thermal calculator assumes synchronous modulation switching and typical datasheet values.</t>
  </si>
  <si>
    <t>DRV8376 Field-Oriented Control (FOC) Thermal Calculator</t>
  </si>
  <si>
    <t>NOTE: DRV8376 FOC thermal calculatorassumes synchronous modulation switching and typical datasheet values.</t>
  </si>
  <si>
    <r>
      <t>Motor Winding RMS Current [I</t>
    </r>
    <r>
      <rPr>
        <vertAlign val="subscript"/>
        <sz val="11"/>
        <color theme="1"/>
        <rFont val="Calibri"/>
        <family val="2"/>
        <scheme val="minor"/>
      </rPr>
      <t>rms(FOC)</t>
    </r>
    <r>
      <rPr>
        <sz val="11"/>
        <color theme="1"/>
        <rFont val="Calibri"/>
        <family val="2"/>
        <scheme val="minor"/>
      </rPr>
      <t>] Enter a value from 0A to 4.5A</t>
    </r>
  </si>
  <si>
    <t>MCF8315C (PWP) Field-Oriented Control (FOC) Thermal Calculator</t>
  </si>
  <si>
    <t>Directions - Fill in all yellow boxes with known motor system parameters for the MCF8315C PWP.</t>
  </si>
  <si>
    <t>MCF8315C</t>
  </si>
  <si>
    <t>NOTE: For loss calculation, the device operating current is assumed as 11mA (Typ), for LBK = 47uH and CBK = 22uF</t>
  </si>
  <si>
    <t>Active Current @ 25kHz, LBK = 47Uh</t>
  </si>
  <si>
    <t>3,3</t>
  </si>
  <si>
    <t>MCF8315C (RGF)Field-Oriented Control (FOC) Thermal Calculator</t>
  </si>
  <si>
    <t>Directions - Fill in all yellow boxes with known motor system parameters for the MCF8315C RGF.</t>
  </si>
  <si>
    <t>Active Current @ 25kHz, LBK = 47uH</t>
  </si>
  <si>
    <t>MCF8315C (RRY) Field-Oriented Control (FOC) Thermal Calculator</t>
  </si>
  <si>
    <t>Directions - Fill in all yellow boxes with known motor system parameters for the MCF8315C RRY.</t>
  </si>
  <si>
    <t>Active Current @ 25kHz, LBK = 47 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</si>
</sst>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.35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 readingOrder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4" borderId="1" xfId="0" applyFill="1" applyBorder="1"/>
    <xf numFmtId="0" fontId="1" fillId="8" borderId="7" xfId="0" applyFont="1" applyFill="1" applyBorder="1"/>
    <xf numFmtId="0" fontId="1" fillId="8" borderId="7" xfId="0" applyFont="1" applyFill="1" applyBorder="1" applyAlignment="1">
      <alignment horizontal="left"/>
    </xf>
    <xf numFmtId="0" fontId="0" fillId="10" borderId="0" xfId="0" applyFill="1"/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33" xfId="0" applyFont="1" applyBorder="1"/>
    <xf numFmtId="0" fontId="0" fillId="0" borderId="7" xfId="0" applyBorder="1"/>
    <xf numFmtId="0" fontId="0" fillId="0" borderId="9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10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11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7" fillId="0" borderId="0" xfId="0" applyFont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 wrapText="1"/>
    </xf>
    <xf numFmtId="0" fontId="0" fillId="0" borderId="3" xfId="0" applyBorder="1"/>
    <xf numFmtId="0" fontId="0" fillId="0" borderId="2" xfId="0" applyBorder="1" applyAlignment="1">
      <alignment horizontal="left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6" xfId="0" applyBorder="1"/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0" fillId="2" borderId="27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3" fillId="0" borderId="28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2" fontId="0" fillId="4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readingOrder="1"/>
    </xf>
    <xf numFmtId="0" fontId="10" fillId="0" borderId="16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 wrapText="1" readingOrder="1"/>
    </xf>
    <xf numFmtId="0" fontId="1" fillId="7" borderId="29" xfId="0" applyFont="1" applyFill="1" applyBorder="1" applyAlignment="1">
      <alignment horizontal="left"/>
    </xf>
    <xf numFmtId="0" fontId="1" fillId="7" borderId="39" xfId="0" applyFont="1" applyFill="1" applyBorder="1" applyAlignment="1">
      <alignment horizontal="left"/>
    </xf>
    <xf numFmtId="0" fontId="1" fillId="7" borderId="27" xfId="0" applyFont="1" applyFill="1" applyBorder="1" applyAlignment="1">
      <alignment horizontal="center"/>
    </xf>
    <xf numFmtId="0" fontId="0" fillId="0" borderId="40" xfId="0" applyBorder="1" applyAlignment="1">
      <alignment horizontal="left"/>
    </xf>
    <xf numFmtId="0" fontId="1" fillId="0" borderId="3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0" fontId="0" fillId="0" borderId="19" xfId="0" applyBorder="1"/>
    <xf numFmtId="0" fontId="0" fillId="0" borderId="8" xfId="0" applyBorder="1" applyAlignment="1">
      <alignment horizontal="left" wrapText="1"/>
    </xf>
    <xf numFmtId="0" fontId="4" fillId="0" borderId="2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2" borderId="21" xfId="0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30" xfId="0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7" borderId="6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34" xfId="0" applyFont="1" applyBorder="1" applyAlignment="1">
      <alignment horizontal="center" vertical="center" wrapText="1" readingOrder="1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2" fillId="0" borderId="42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13" borderId="0" xfId="0" applyFont="1" applyFill="1" applyAlignment="1">
      <alignment horizontal="left" vertical="center" wrapText="1"/>
    </xf>
    <xf numFmtId="0" fontId="1" fillId="13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" fillId="8" borderId="37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 readingOrder="1"/>
    </xf>
    <xf numFmtId="0" fontId="10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 wrapText="1" readingOrder="1"/>
    </xf>
    <xf numFmtId="0" fontId="2" fillId="0" borderId="45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0" borderId="32" xfId="0" applyBorder="1"/>
    <xf numFmtId="0" fontId="1" fillId="0" borderId="3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27" xfId="0" applyFill="1" applyBorder="1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center" wrapText="1"/>
      <protection hidden="1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35" xfId="0" applyFont="1" applyFill="1" applyBorder="1" applyAlignment="1">
      <alignment horizontal="center" vertical="center" wrapText="1"/>
    </xf>
    <xf numFmtId="0" fontId="11" fillId="12" borderId="2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12" borderId="3" xfId="0" applyFont="1" applyFill="1" applyBorder="1" applyAlignment="1">
      <alignment horizontal="center" vertical="center" wrapText="1"/>
    </xf>
    <xf numFmtId="0" fontId="1" fillId="12" borderId="35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165528</xdr:colOff>
      <xdr:row>4</xdr:row>
      <xdr:rowOff>150920</xdr:rowOff>
    </xdr:from>
    <xdr:ext cx="4688524" cy="2437331"/>
    <xdr:pic>
      <xdr:nvPicPr>
        <xdr:cNvPr id="2" name="Picture 1">
          <a:extLst>
            <a:ext uri="{FF2B5EF4-FFF2-40B4-BE49-F238E27FC236}">
              <a16:creationId xmlns:a16="http://schemas.microsoft.com/office/drawing/2014/main" id="{6393FBF5-FB12-4CE1-8A79-78E7D64EC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5748" y="1998770"/>
          <a:ext cx="4688524" cy="243733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15725</xdr:colOff>
      <xdr:row>13</xdr:row>
      <xdr:rowOff>585573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29E1FE-EC6B-42E9-B079-96D5FE0DF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503" y="884345"/>
          <a:ext cx="4525067" cy="244887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16</xdr:row>
      <xdr:rowOff>58691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F1EEF9-6BAA-4521-8491-4897D6CA2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8932" y="800471"/>
          <a:ext cx="5394593" cy="22966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16</xdr:row>
      <xdr:rowOff>86774</xdr:rowOff>
    </xdr:from>
    <xdr:to>
      <xdr:col>6</xdr:col>
      <xdr:colOff>0</xdr:colOff>
      <xdr:row>25</xdr:row>
      <xdr:rowOff>15613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FBB192-E002-407A-BB42-B92F56B5A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5544" y="3136679"/>
          <a:ext cx="5387981" cy="263203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16360</xdr:colOff>
      <xdr:row>14</xdr:row>
      <xdr:rowOff>398346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22C227-EFF4-493D-A231-BACBECC07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5238" y="884345"/>
          <a:ext cx="4434262" cy="246030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15</xdr:row>
      <xdr:rowOff>246950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4CE611-0431-4CF6-88FF-8422DA11A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7977" y="800471"/>
          <a:ext cx="5406023" cy="230622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65452</xdr:colOff>
      <xdr:row>15</xdr:row>
      <xdr:rowOff>295653</xdr:rowOff>
    </xdr:from>
    <xdr:to>
      <xdr:col>16384</xdr:col>
      <xdr:colOff>15293</xdr:colOff>
      <xdr:row>1048576</xdr:row>
      <xdr:rowOff>15612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D8A0EC-F8D2-4DD0-8552-0E88CCA5F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5593" y="3112907"/>
          <a:ext cx="5264970" cy="269819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16360</xdr:colOff>
      <xdr:row>14</xdr:row>
      <xdr:rowOff>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861C08-D9BB-41CD-A0DD-0CD1ACB9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808" y="890060"/>
          <a:ext cx="4453312" cy="246484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5</xdr:col>
      <xdr:colOff>1541417</xdr:colOff>
      <xdr:row>13</xdr:row>
      <xdr:rowOff>580493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388A53-2F08-4990-BF03-F4F85848C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5748" y="1998770"/>
          <a:ext cx="4682969" cy="244887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5</xdr:col>
      <xdr:colOff>1541417</xdr:colOff>
      <xdr:row>13</xdr:row>
      <xdr:rowOff>580493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2C91A6-3237-4971-8D21-FF60B6BE2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5748" y="1998770"/>
          <a:ext cx="4682969" cy="244887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16</xdr:row>
      <xdr:rowOff>52341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83773A-4E18-402B-BB14-1106A2861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7111" y="800471"/>
          <a:ext cx="5492746" cy="22928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16</xdr:row>
      <xdr:rowOff>86774</xdr:rowOff>
    </xdr:from>
    <xdr:to>
      <xdr:col>6</xdr:col>
      <xdr:colOff>0</xdr:colOff>
      <xdr:row>1048576</xdr:row>
      <xdr:rowOff>1646838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4ACE01-F671-4A9D-AA82-74EAC1818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3723" y="3134774"/>
          <a:ext cx="5495206" cy="266324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2</xdr:colOff>
      <xdr:row>16</xdr:row>
      <xdr:rowOff>54881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6B3E7-F425-4D4E-A5AE-EF5D74D94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7347" y="1571996"/>
          <a:ext cx="5506355" cy="23024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17</xdr:row>
      <xdr:rowOff>86774</xdr:rowOff>
    </xdr:from>
    <xdr:to>
      <xdr:col>5</xdr:col>
      <xdr:colOff>587377</xdr:colOff>
      <xdr:row>25</xdr:row>
      <xdr:rowOff>208016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EC08F-0299-4CBF-9792-0266AA7B6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7134" y="4093624"/>
          <a:ext cx="5496568" cy="2648542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15724</xdr:colOff>
      <xdr:row>14</xdr:row>
      <xdr:rowOff>404598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4C3912-3305-460B-B64A-2E88D0F4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903" y="906570"/>
          <a:ext cx="4323772" cy="248252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16</xdr:row>
      <xdr:rowOff>54881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5BB3B9-B53B-4E3F-B6F9-4D4E4D7B4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5297" y="800471"/>
          <a:ext cx="5506353" cy="22928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16</xdr:row>
      <xdr:rowOff>86774</xdr:rowOff>
    </xdr:from>
    <xdr:to>
      <xdr:col>6</xdr:col>
      <xdr:colOff>0</xdr:colOff>
      <xdr:row>24</xdr:row>
      <xdr:rowOff>208018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06DFA1-626C-4295-9631-5283B750B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084" y="3131599"/>
          <a:ext cx="5496566" cy="260472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15725</xdr:colOff>
      <xdr:row>13</xdr:row>
      <xdr:rowOff>585573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A0CB01-4E99-42D6-A03F-E9337894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9293" y="883038"/>
          <a:ext cx="4526001" cy="243598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16</xdr:row>
      <xdr:rowOff>53611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E98A88-FC4B-4262-9CCF-968890A0C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5297" y="800471"/>
          <a:ext cx="5506353" cy="22928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16</xdr:row>
      <xdr:rowOff>86774</xdr:rowOff>
    </xdr:from>
    <xdr:to>
      <xdr:col>6</xdr:col>
      <xdr:colOff>0</xdr:colOff>
      <xdr:row>25</xdr:row>
      <xdr:rowOff>204208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4DBF5-B86E-4D7E-AD6A-A4D44EBAF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084" y="3131599"/>
          <a:ext cx="5496566" cy="265235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FA6D1E-DE10-4C1C-ACFE-8AB706180C43}" name="Table1" displayName="Table1" ref="T34:V59" totalsRowShown="0" headerRowBorderDxfId="55" tableBorderDxfId="54" totalsRowBorderDxfId="53">
  <autoFilter ref="T34:V59" xr:uid="{08644DE1-EBD4-475E-9E5A-01CE20F5F28F}"/>
  <tableColumns count="3">
    <tableColumn id="1" xr3:uid="{E57CC254-9080-4104-8E85-AA349D90A627}" name="PCB area (cm2)" dataDxfId="52"/>
    <tableColumn id="2" xr3:uid="{62A28AF7-2B2C-42D5-A21E-98F17AD14A41}" name="Notation" dataDxfId="51"/>
    <tableColumn id="3" xr3:uid="{E9A1C5F9-EC2F-4876-AE3F-997F7A8DCDA0}" name="Theta JA (°C/W)(" dataDxfId="5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EF2AEAB-732D-4874-A827-9EB4965DA983}" name="Table1378" displayName="Table1378" ref="V31:X56" totalsRowShown="0" headerRowBorderDxfId="47" tableBorderDxfId="46" totalsRowBorderDxfId="45">
  <autoFilter ref="V31:X56" xr:uid="{08644DE1-EBD4-475E-9E5A-01CE20F5F28F}"/>
  <tableColumns count="3">
    <tableColumn id="1" xr3:uid="{C7CD7217-757A-4D4B-8E34-1BB510FB5261}" name="PCB area (cm2)" dataDxfId="44"/>
    <tableColumn id="2" xr3:uid="{FD26BE1C-A927-4AF8-89B0-E067BA8DCAC6}" name="Notation" dataDxfId="43"/>
    <tableColumn id="3" xr3:uid="{8C1D510D-63A9-44CF-9A8D-A1BC4950475A}" name="Theta JA (°C/W)(" dataDxfId="4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97E343-C0EE-49B1-ABEF-F3556CDE291F}" name="Table13" displayName="Table13" ref="V30:X55" totalsRowShown="0" headerRowBorderDxfId="37" tableBorderDxfId="36" totalsRowBorderDxfId="35">
  <autoFilter ref="V30:X55" xr:uid="{08644DE1-EBD4-475E-9E5A-01CE20F5F28F}"/>
  <tableColumns count="3">
    <tableColumn id="1" xr3:uid="{D2D84249-F656-4333-A2A9-5BBD600CC506}" name="PCB area (cm2)" dataDxfId="34"/>
    <tableColumn id="2" xr3:uid="{5FD05A8A-7B45-4342-BB43-BB5797451D6D}" name="Notation" dataDxfId="33"/>
    <tableColumn id="3" xr3:uid="{927DA7FA-8F78-406A-A87D-D3AA1182D24F}" name="Theta JA (°C/W)(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69CA32-4CB0-4F8C-86F6-67038CB7F29C}" name="Table134" displayName="Table134" ref="V30:X55" totalsRowShown="0" headerRowBorderDxfId="27" tableBorderDxfId="26" totalsRowBorderDxfId="25">
  <autoFilter ref="V30:X55" xr:uid="{08644DE1-EBD4-475E-9E5A-01CE20F5F28F}"/>
  <tableColumns count="3">
    <tableColumn id="1" xr3:uid="{430D9224-EDD6-44FD-9737-F6C34A1848A4}" name="PCB area (cm2)" dataDxfId="24"/>
    <tableColumn id="2" xr3:uid="{29E34A74-ED2C-4E59-8D84-B6DF3AB462D8}" name="Notation" dataDxfId="23"/>
    <tableColumn id="3" xr3:uid="{4BF06216-4561-4441-9363-D65CE0EC599D}" name="Theta JA (°C/W)(" dataDxfId="2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C62C6E-2E02-402A-AD68-80797C825160}" name="Table135" displayName="Table135" ref="V30:X55" totalsRowShown="0" headerRowBorderDxfId="17" tableBorderDxfId="16" totalsRowBorderDxfId="15">
  <autoFilter ref="V30:X55" xr:uid="{08644DE1-EBD4-475E-9E5A-01CE20F5F28F}"/>
  <tableColumns count="3">
    <tableColumn id="1" xr3:uid="{2422D5B2-D81C-469F-AC88-50EEA0FE753C}" name="PCB area (cm2)" dataDxfId="14"/>
    <tableColumn id="2" xr3:uid="{2483AF25-D9BB-40C8-93CE-5C2D36EF52A6}" name="Notation" dataDxfId="13"/>
    <tableColumn id="3" xr3:uid="{6C5208F8-FA0D-4DBB-8146-0B226401F69A}" name="Theta JA (°C/W)(" dataDxfId="1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056452-82BC-447A-B02B-3F499B8DF194}" name="Table1356" displayName="Table1356" ref="U29:W54" totalsRowShown="0" headerRowBorderDxfId="7" tableBorderDxfId="6" totalsRowBorderDxfId="5">
  <autoFilter ref="U29:W54" xr:uid="{08644DE1-EBD4-475E-9E5A-01CE20F5F28F}"/>
  <tableColumns count="3">
    <tableColumn id="1" xr3:uid="{2645BB00-3F05-406C-B80E-0CD7511CD7AB}" name="PCB area (cm2)" dataDxfId="4"/>
    <tableColumn id="2" xr3:uid="{4A8F10B2-4340-400B-A9A2-D5837BDA6206}" name="Notation" dataDxfId="3"/>
    <tableColumn id="3" xr3:uid="{DCE4485A-A280-44EA-A35A-104EB24BEEA0}" name="Theta JA (°C/W)(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66FC-D5D8-4728-BBE3-D01A16AB139F}">
  <dimension ref="A1:AK87"/>
  <sheetViews>
    <sheetView zoomScale="85" zoomScaleNormal="85" workbookViewId="0">
      <selection activeCell="B5" sqref="B5"/>
    </sheetView>
  </sheetViews>
  <sheetFormatPr defaultColWidth="0" defaultRowHeight="14.4" customHeight="1" zeroHeight="1" x14ac:dyDescent="0.55000000000000004"/>
  <cols>
    <col min="1" max="1" width="56.26171875" style="2" customWidth="1"/>
    <col min="2" max="2" width="13.41796875" style="3" customWidth="1"/>
    <col min="3" max="3" width="7.26171875" style="3" bestFit="1" customWidth="1"/>
    <col min="4" max="4" width="20.83984375" style="5" customWidth="1"/>
    <col min="5" max="5" width="24.83984375" style="5" bestFit="1" customWidth="1"/>
    <col min="6" max="6" width="21.26171875" customWidth="1"/>
    <col min="7" max="7" width="12.26171875" hidden="1"/>
    <col min="8" max="8" width="28.68359375" hidden="1"/>
    <col min="9" max="9" width="24.578125" hidden="1"/>
    <col min="10" max="10" width="10.41796875" hidden="1"/>
    <col min="11" max="13" width="10.68359375" hidden="1"/>
    <col min="14" max="14" width="14.68359375" hidden="1"/>
    <col min="15" max="15" width="13.83984375" hidden="1"/>
    <col min="16" max="16" width="8.68359375" hidden="1"/>
    <col min="17" max="17" width="14.68359375" hidden="1"/>
    <col min="18" max="18" width="19.26171875" hidden="1"/>
    <col min="19" max="19" width="12.26171875" hidden="1"/>
    <col min="20" max="20" width="19.83984375" hidden="1"/>
    <col min="21" max="21" width="19.15625" hidden="1"/>
    <col min="22" max="22" width="8.83984375" hidden="1"/>
    <col min="23" max="23" width="22.68359375" hidden="1"/>
    <col min="24" max="24" width="12.26171875" hidden="1"/>
    <col min="25" max="25" width="15.26171875" hidden="1"/>
    <col min="26" max="26" width="33" hidden="1"/>
    <col min="27" max="27" width="15.68359375" hidden="1"/>
    <col min="28" max="28" width="14.68359375" hidden="1"/>
    <col min="29" max="29" width="14.26171875" hidden="1"/>
    <col min="30" max="30" width="12.26171875" hidden="1"/>
    <col min="31" max="31" width="15.15625" hidden="1"/>
    <col min="32" max="32" width="13.41796875" hidden="1"/>
    <col min="33" max="33" width="15.41796875" hidden="1"/>
    <col min="34" max="34" width="13.41796875" style="10" hidden="1"/>
    <col min="35" max="35" width="10.26171875" style="10" hidden="1"/>
    <col min="36" max="36" width="16.83984375" style="10" hidden="1"/>
    <col min="37" max="37" width="16.68359375" style="10" hidden="1"/>
    <col min="38" max="16384" width="8.83984375" hidden="1"/>
  </cols>
  <sheetData>
    <row r="1" spans="1:37" ht="75.599999999999994" customHeight="1" thickBot="1" x14ac:dyDescent="0.6">
      <c r="A1" s="142" t="s">
        <v>215</v>
      </c>
      <c r="B1" s="185" t="s">
        <v>216</v>
      </c>
      <c r="C1" s="185"/>
      <c r="D1" s="185"/>
      <c r="E1" s="185"/>
      <c r="F1" s="185"/>
    </row>
    <row r="2" spans="1:37" ht="41.4" customHeight="1" thickBot="1" x14ac:dyDescent="0.6">
      <c r="A2" s="106" t="s">
        <v>2</v>
      </c>
      <c r="B2" s="107" t="s">
        <v>208</v>
      </c>
      <c r="C2" s="108" t="s">
        <v>4</v>
      </c>
      <c r="D2" s="109" t="s">
        <v>5</v>
      </c>
      <c r="E2" s="110" t="s">
        <v>6</v>
      </c>
      <c r="F2" s="110" t="s">
        <v>4</v>
      </c>
    </row>
    <row r="3" spans="1:37" ht="14.5" customHeight="1" thickBot="1" x14ac:dyDescent="0.6">
      <c r="A3" s="86" t="s">
        <v>7</v>
      </c>
      <c r="B3" s="171">
        <v>24</v>
      </c>
      <c r="C3" s="112" t="s">
        <v>8</v>
      </c>
      <c r="D3" s="66" t="s">
        <v>9</v>
      </c>
      <c r="E3" s="172">
        <f>ROUND(IF(U20=-1,"n/a",$AH$18),2)</f>
        <v>1.1299999999999999</v>
      </c>
      <c r="F3" s="112" t="s">
        <v>10</v>
      </c>
    </row>
    <row r="4" spans="1:37" ht="14.5" customHeight="1" thickBot="1" x14ac:dyDescent="0.6">
      <c r="A4" s="88" t="s">
        <v>140</v>
      </c>
      <c r="B4" s="173">
        <v>1</v>
      </c>
      <c r="C4" s="115" t="s">
        <v>12</v>
      </c>
      <c r="D4" s="66" t="s">
        <v>13</v>
      </c>
      <c r="E4" s="174">
        <f>ROUND(IF(U20=-1,"n/a",$AH$19),2)</f>
        <v>65.239999999999995</v>
      </c>
      <c r="F4" s="112" t="s">
        <v>84</v>
      </c>
    </row>
    <row r="5" spans="1:37" ht="14.5" customHeight="1" x14ac:dyDescent="0.55000000000000004">
      <c r="A5" s="116" t="s">
        <v>141</v>
      </c>
      <c r="B5" s="173" t="s">
        <v>145</v>
      </c>
      <c r="C5" s="115"/>
      <c r="D5" s="117"/>
      <c r="E5" s="117"/>
      <c r="F5" s="117"/>
    </row>
    <row r="6" spans="1:37" ht="14.5" customHeight="1" x14ac:dyDescent="0.55000000000000004">
      <c r="A6" s="86" t="s">
        <v>24</v>
      </c>
      <c r="B6" s="171">
        <v>25</v>
      </c>
      <c r="C6" s="112" t="s">
        <v>25</v>
      </c>
    </row>
    <row r="7" spans="1:37" ht="14.5" customHeight="1" x14ac:dyDescent="0.55000000000000004">
      <c r="A7" s="92" t="s">
        <v>26</v>
      </c>
      <c r="B7" s="173">
        <v>200</v>
      </c>
      <c r="C7" s="115" t="s">
        <v>27</v>
      </c>
    </row>
    <row r="8" spans="1:37" ht="14.5" customHeight="1" x14ac:dyDescent="0.55000000000000004">
      <c r="A8" s="93" t="s">
        <v>28</v>
      </c>
      <c r="B8" s="175">
        <v>5</v>
      </c>
      <c r="C8" s="78" t="s">
        <v>29</v>
      </c>
    </row>
    <row r="9" spans="1:37" ht="14.5" customHeight="1" thickBot="1" x14ac:dyDescent="0.6">
      <c r="A9" s="118" t="s">
        <v>30</v>
      </c>
      <c r="B9" s="176">
        <v>25</v>
      </c>
      <c r="C9" s="119" t="s">
        <v>14</v>
      </c>
      <c r="Y9" s="25"/>
      <c r="Z9" s="24"/>
      <c r="AA9" s="24"/>
      <c r="AB9" s="3"/>
      <c r="AC9" s="5"/>
    </row>
    <row r="10" spans="1:37" ht="14.5" customHeight="1" thickBot="1" x14ac:dyDescent="0.6">
      <c r="A10" s="120" t="s">
        <v>31</v>
      </c>
      <c r="B10" s="107"/>
      <c r="C10" s="108"/>
    </row>
    <row r="11" spans="1:37" ht="34.15" customHeight="1" x14ac:dyDescent="0.55000000000000004">
      <c r="A11" s="121" t="s">
        <v>32</v>
      </c>
      <c r="B11" s="177">
        <v>4</v>
      </c>
      <c r="C11" s="112" t="s">
        <v>33</v>
      </c>
    </row>
    <row r="12" spans="1:37" ht="14.5" customHeight="1" x14ac:dyDescent="0.55000000000000004">
      <c r="A12" s="123" t="s">
        <v>34</v>
      </c>
      <c r="B12" s="173">
        <v>2</v>
      </c>
      <c r="C12" s="124" t="s">
        <v>35</v>
      </c>
    </row>
    <row r="13" spans="1:37" s="1" customFormat="1" ht="25.5" customHeight="1" thickBot="1" x14ac:dyDescent="0.6">
      <c r="A13" s="118" t="s">
        <v>36</v>
      </c>
      <c r="B13" s="178">
        <v>24</v>
      </c>
      <c r="C13" s="12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6" t="s">
        <v>209</v>
      </c>
      <c r="B14" s="187"/>
      <c r="C14" s="188"/>
      <c r="D14" s="1"/>
      <c r="E14" s="1"/>
      <c r="F14" s="1"/>
      <c r="W14" s="137" t="s">
        <v>39</v>
      </c>
      <c r="X14" s="138" t="s">
        <v>6</v>
      </c>
      <c r="Y14" s="138" t="s">
        <v>4</v>
      </c>
    </row>
    <row r="15" spans="1:37" ht="14.7" hidden="1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9" t="s">
        <v>47</v>
      </c>
      <c r="S15" s="190"/>
      <c r="T15" s="190"/>
      <c r="U15" s="191"/>
      <c r="W15" s="28" t="s">
        <v>48</v>
      </c>
      <c r="X15" s="8">
        <v>1.4829000000000001</v>
      </c>
      <c r="Y15" s="8" t="s">
        <v>12</v>
      </c>
      <c r="AC15" s="192" t="s">
        <v>49</v>
      </c>
      <c r="AD15" s="193"/>
      <c r="AE15" s="192" t="s">
        <v>50</v>
      </c>
      <c r="AF15" s="193"/>
      <c r="AG15" s="192" t="s">
        <v>51</v>
      </c>
      <c r="AH15" s="193"/>
    </row>
    <row r="16" spans="1:37" ht="14.7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125</v>
      </c>
      <c r="L16" s="6">
        <v>0.65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125</v>
      </c>
      <c r="AE16" s="29" t="s">
        <v>59</v>
      </c>
      <c r="AF16">
        <f>$X$19+($AA$19*(AD19-25))</f>
        <v>144.05739843750001</v>
      </c>
      <c r="AG16" s="29" t="s">
        <v>60</v>
      </c>
      <c r="AH16">
        <f>$X$19+($AA$19*(AF19-25))</f>
        <v>145.06914843750002</v>
      </c>
    </row>
    <row r="17" spans="1:37" ht="14.7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200</v>
      </c>
      <c r="L17" s="6">
        <v>0.5</v>
      </c>
      <c r="M17" s="6">
        <v>15</v>
      </c>
      <c r="N17" s="6" t="s">
        <v>142</v>
      </c>
      <c r="O17" s="8"/>
      <c r="P17" s="8"/>
      <c r="R17" s="14">
        <f>B12</f>
        <v>2</v>
      </c>
      <c r="S17" s="12">
        <f>IF(B11&gt;2,X23,"")</f>
        <v>1</v>
      </c>
      <c r="T17" s="12">
        <f>IF(B11&gt;2,X23,"")</f>
        <v>1</v>
      </c>
      <c r="U17" s="15">
        <f>B12</f>
        <v>2</v>
      </c>
      <c r="W17" s="28"/>
      <c r="X17" s="8"/>
      <c r="Y17" s="8"/>
      <c r="AC17" s="30" t="s">
        <v>63</v>
      </c>
      <c r="AD17" s="9">
        <f>ROUND(3*$B$4*$B$4*AD16/(1000),3)</f>
        <v>0.375</v>
      </c>
      <c r="AE17" s="30" t="s">
        <v>64</v>
      </c>
      <c r="AF17" s="9">
        <f>ROUND(3*$B$4*$B$4*AF16/(1000),3)</f>
        <v>0.432</v>
      </c>
      <c r="AG17" s="30" t="s">
        <v>65</v>
      </c>
      <c r="AH17" s="9">
        <f>ROUND(3*$B$4*$B$4*AH16/(1000),3)</f>
        <v>0.435</v>
      </c>
    </row>
    <row r="18" spans="1:37" ht="29.1" hidden="1" thickBot="1" x14ac:dyDescent="0.6">
      <c r="G18" s="6"/>
      <c r="H18" s="6">
        <v>3</v>
      </c>
      <c r="I18" s="6"/>
      <c r="J18" s="26">
        <v>16</v>
      </c>
      <c r="K18" s="6"/>
      <c r="L18" s="6"/>
      <c r="M18" s="6">
        <v>20</v>
      </c>
      <c r="N18" s="6"/>
      <c r="O18" s="8"/>
      <c r="P18" s="8"/>
      <c r="Q18" s="8"/>
      <c r="R18" s="179" t="s">
        <v>66</v>
      </c>
      <c r="S18" s="180"/>
      <c r="T18" s="181"/>
      <c r="U18" s="33" t="s">
        <v>67</v>
      </c>
      <c r="W18" s="28" t="s">
        <v>217</v>
      </c>
      <c r="X18" s="8">
        <v>11</v>
      </c>
      <c r="Y18" s="8" t="s">
        <v>29</v>
      </c>
      <c r="Z18" t="s">
        <v>156</v>
      </c>
      <c r="AC18" s="30" t="s">
        <v>70</v>
      </c>
      <c r="AD18" s="9">
        <f>AD17+$AA$20</f>
        <v>1.07365625</v>
      </c>
      <c r="AE18" s="30" t="s">
        <v>71</v>
      </c>
      <c r="AF18" s="9">
        <f>AF17+$AA$20</f>
        <v>1.1306562500000001</v>
      </c>
      <c r="AG18" s="31" t="s">
        <v>72</v>
      </c>
      <c r="AH18" s="32">
        <f>AH17+$AA$20</f>
        <v>1.13365625</v>
      </c>
    </row>
    <row r="19" spans="1:37" ht="14.7" hidden="1" thickBot="1" x14ac:dyDescent="0.6">
      <c r="G19" s="6"/>
      <c r="H19" s="6"/>
      <c r="I19" s="6"/>
      <c r="J19" s="26">
        <v>20</v>
      </c>
      <c r="K19" s="6"/>
      <c r="L19" s="6"/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125</v>
      </c>
      <c r="Y19" s="8" t="s">
        <v>78</v>
      </c>
      <c r="Z19" t="s">
        <v>85</v>
      </c>
      <c r="AA19">
        <f>(X20-X19)/(150-25)</f>
        <v>0.5</v>
      </c>
      <c r="AC19" s="30" t="s">
        <v>79</v>
      </c>
      <c r="AD19" s="9">
        <f>$B$9+(AD18*$X$24)</f>
        <v>63.114796874999996</v>
      </c>
      <c r="AE19" s="30" t="s">
        <v>80</v>
      </c>
      <c r="AF19" s="9">
        <f>$B$9+(AF18*$X$24)</f>
        <v>65.138296875000009</v>
      </c>
      <c r="AG19" s="31" t="s">
        <v>81</v>
      </c>
      <c r="AH19" s="32">
        <f>$B$9+(AH18*$X$24)</f>
        <v>65.244796874999992</v>
      </c>
    </row>
    <row r="20" spans="1:37" ht="43.2" hidden="1" x14ac:dyDescent="0.55000000000000004">
      <c r="A20" s="3"/>
      <c r="G20" s="6"/>
      <c r="H20" s="6"/>
      <c r="I20" s="6"/>
      <c r="J20" s="26">
        <v>24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2,1,1,2</v>
      </c>
      <c r="S20" s="12">
        <f>B13</f>
        <v>24</v>
      </c>
      <c r="T20" s="12"/>
      <c r="U20" s="15">
        <f>VLOOKUP(S20&amp;R20,Q23:T74,4,FALSE)</f>
        <v>35.5</v>
      </c>
      <c r="W20" s="28" t="s">
        <v>138</v>
      </c>
      <c r="X20" s="8">
        <v>187.5</v>
      </c>
      <c r="Y20" s="8" t="s">
        <v>78</v>
      </c>
      <c r="Z20" s="27" t="s">
        <v>146</v>
      </c>
      <c r="AA20">
        <f>X33+X37+X38+X40+X41+X42</f>
        <v>0.69865625000000009</v>
      </c>
    </row>
    <row r="21" spans="1:37" hidden="1" x14ac:dyDescent="0.55000000000000004">
      <c r="A21" s="3"/>
      <c r="G21" s="5"/>
      <c r="H21" s="5"/>
      <c r="J21" s="26">
        <v>32</v>
      </c>
      <c r="M21" s="6">
        <v>35</v>
      </c>
      <c r="R21" s="182" t="s">
        <v>83</v>
      </c>
      <c r="S21" s="183"/>
      <c r="T21" s="183"/>
      <c r="U21" s="184"/>
      <c r="W21" s="28" t="s">
        <v>30</v>
      </c>
      <c r="X21" s="8">
        <v>25</v>
      </c>
      <c r="Y21" s="8" t="s">
        <v>84</v>
      </c>
    </row>
    <row r="22" spans="1:37" hidden="1" x14ac:dyDescent="0.55000000000000004">
      <c r="A22" s="3"/>
      <c r="G22" s="5"/>
      <c r="H22" s="5"/>
      <c r="J22" s="26">
        <v>48</v>
      </c>
      <c r="M22" s="6">
        <v>40</v>
      </c>
      <c r="Q22" s="4" t="s">
        <v>86</v>
      </c>
      <c r="R22" s="127" t="s">
        <v>87</v>
      </c>
      <c r="S22" s="128" t="s">
        <v>73</v>
      </c>
      <c r="T22" s="12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28.8" hidden="1" x14ac:dyDescent="0.55000000000000004">
      <c r="A23" s="24"/>
      <c r="B23" s="24"/>
      <c r="C23" s="24"/>
      <c r="G23" s="5"/>
      <c r="H23" s="5"/>
      <c r="J23" s="26">
        <v>64</v>
      </c>
      <c r="M23" s="6">
        <v>45</v>
      </c>
      <c r="Q23" s="4" t="str">
        <f t="shared" ref="Q23:Q70" si="0">R23&amp;S23</f>
        <v>41,1</v>
      </c>
      <c r="R23" s="14">
        <v>4</v>
      </c>
      <c r="S23" s="12" t="s">
        <v>92</v>
      </c>
      <c r="T23" s="143">
        <v>83.2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44">
        <v>76.8</v>
      </c>
      <c r="U24" s="15"/>
      <c r="W24" s="28" t="s">
        <v>94</v>
      </c>
      <c r="X24" s="8">
        <f>U20</f>
        <v>35.5</v>
      </c>
      <c r="Y24" s="8" t="s">
        <v>95</v>
      </c>
    </row>
    <row r="25" spans="1:37" hidden="1" x14ac:dyDescent="0.55000000000000004">
      <c r="A25" s="23"/>
      <c r="G25" s="5"/>
      <c r="H25" s="5"/>
      <c r="M25" s="6">
        <v>55</v>
      </c>
      <c r="Q25" s="4" t="str">
        <f t="shared" si="0"/>
        <v>43,3</v>
      </c>
      <c r="R25" s="14">
        <v>4</v>
      </c>
      <c r="S25" s="12" t="s">
        <v>211</v>
      </c>
      <c r="T25" s="144">
        <v>74</v>
      </c>
      <c r="U25" s="15"/>
      <c r="W25" s="137" t="s">
        <v>39</v>
      </c>
      <c r="X25" s="138" t="s">
        <v>6</v>
      </c>
      <c r="Y25" s="138" t="s">
        <v>4</v>
      </c>
    </row>
    <row r="26" spans="1:37" hidden="1" x14ac:dyDescent="0.55000000000000004">
      <c r="A26" s="3"/>
      <c r="G26" s="5"/>
      <c r="H26" s="5"/>
      <c r="M26" s="6">
        <v>60</v>
      </c>
      <c r="Q26" s="4" t="str">
        <f t="shared" si="0"/>
        <v>41,1,1,1</v>
      </c>
      <c r="R26" s="14">
        <v>4</v>
      </c>
      <c r="S26" s="12" t="s">
        <v>96</v>
      </c>
      <c r="T26" s="143">
        <v>70.400000000000006</v>
      </c>
      <c r="U26" s="15"/>
      <c r="W26" s="28" t="s">
        <v>98</v>
      </c>
      <c r="X26" s="8">
        <f>ROUND((B3/SQRT(2))*X16,2)</f>
        <v>16.8</v>
      </c>
      <c r="Y26" s="8" t="s">
        <v>8</v>
      </c>
    </row>
    <row r="27" spans="1:37" s="1" customFormat="1" ht="28.8" hidden="1" x14ac:dyDescent="0.55000000000000004">
      <c r="A27" s="3"/>
      <c r="B27" s="3"/>
      <c r="C27" s="3"/>
      <c r="D27" s="5"/>
      <c r="E27" s="5"/>
      <c r="F27"/>
      <c r="G27" s="5"/>
      <c r="H27" s="5"/>
      <c r="I27"/>
      <c r="J27"/>
      <c r="K27"/>
      <c r="L27"/>
      <c r="M27" s="6">
        <v>65</v>
      </c>
      <c r="N27"/>
      <c r="O27"/>
      <c r="P27"/>
      <c r="Q27" s="4" t="str">
        <f t="shared" si="0"/>
        <v>42,1,1,2</v>
      </c>
      <c r="R27" s="14">
        <v>4</v>
      </c>
      <c r="S27" s="12" t="s">
        <v>97</v>
      </c>
      <c r="T27" s="143">
        <v>68.099999999999994</v>
      </c>
      <c r="U27" s="15"/>
      <c r="V27"/>
      <c r="W27" s="28" t="s">
        <v>99</v>
      </c>
      <c r="X27" s="8">
        <f>ROUND(X26/1.41,2)</f>
        <v>11.91</v>
      </c>
      <c r="Y27" s="8" t="s">
        <v>8</v>
      </c>
      <c r="Z27"/>
      <c r="AA27"/>
      <c r="AH27" s="11"/>
      <c r="AI27" s="11"/>
      <c r="AJ27" s="11"/>
      <c r="AK27" s="11"/>
    </row>
    <row r="28" spans="1:37" hidden="1" x14ac:dyDescent="0.55000000000000004">
      <c r="A28" s="1"/>
      <c r="B28" s="1"/>
      <c r="C28" s="1"/>
      <c r="D28" s="6"/>
      <c r="E28" s="6"/>
      <c r="F28" s="1"/>
      <c r="G28" s="5"/>
      <c r="H28" s="5"/>
      <c r="M28" s="6">
        <v>70</v>
      </c>
      <c r="Q28" s="4" t="str">
        <f t="shared" si="0"/>
        <v>43,1,1,3</v>
      </c>
      <c r="R28" s="14">
        <v>4</v>
      </c>
      <c r="S28" s="12" t="s">
        <v>119</v>
      </c>
      <c r="T28" s="143">
        <v>66.7</v>
      </c>
      <c r="U28" s="15"/>
      <c r="W28" s="28"/>
      <c r="X28" s="8"/>
      <c r="Y28" s="8"/>
    </row>
    <row r="29" spans="1:37" hidden="1" x14ac:dyDescent="0.55000000000000004">
      <c r="A29" s="3"/>
      <c r="G29" s="5"/>
      <c r="H29" s="5"/>
      <c r="M29" s="6">
        <v>75</v>
      </c>
      <c r="Q29" s="4" t="str">
        <f t="shared" si="0"/>
        <v>81,1</v>
      </c>
      <c r="R29" s="14">
        <v>8</v>
      </c>
      <c r="S29" s="12" t="s">
        <v>92</v>
      </c>
      <c r="T29" s="143">
        <v>67.400000000000006</v>
      </c>
      <c r="U29" s="15"/>
      <c r="W29" s="28" t="s">
        <v>100</v>
      </c>
      <c r="X29" s="8">
        <f>B4*1.414</f>
        <v>1.4139999999999999</v>
      </c>
      <c r="Y29" s="8" t="s">
        <v>12</v>
      </c>
    </row>
    <row r="30" spans="1:37" hidden="1" x14ac:dyDescent="0.55000000000000004">
      <c r="A30" s="3"/>
      <c r="G30" s="5"/>
      <c r="H30" s="5"/>
      <c r="Q30" s="4" t="str">
        <f t="shared" si="0"/>
        <v>82,2</v>
      </c>
      <c r="R30" s="14">
        <v>8</v>
      </c>
      <c r="S30" s="12" t="s">
        <v>93</v>
      </c>
      <c r="T30" s="144">
        <v>59.9</v>
      </c>
      <c r="U30" s="15"/>
      <c r="W30" s="28" t="s">
        <v>101</v>
      </c>
      <c r="X30" s="8">
        <f>B3/B7</f>
        <v>0.12</v>
      </c>
      <c r="Y30" s="8" t="s">
        <v>21</v>
      </c>
    </row>
    <row r="31" spans="1:37" ht="28.8" hidden="1" x14ac:dyDescent="0.55000000000000004">
      <c r="A31" s="3"/>
      <c r="G31" s="5"/>
      <c r="H31" s="5"/>
      <c r="Q31" s="4" t="str">
        <f t="shared" si="0"/>
        <v>83,3</v>
      </c>
      <c r="R31" s="14">
        <v>8</v>
      </c>
      <c r="S31" s="12" t="s">
        <v>211</v>
      </c>
      <c r="T31" s="144">
        <v>56.8</v>
      </c>
      <c r="U31" s="15"/>
      <c r="W31" s="25" t="s">
        <v>147</v>
      </c>
      <c r="X31" s="3">
        <f>VLOOKUP(B7,K16:L19,2,FALSE)</f>
        <v>0.5</v>
      </c>
      <c r="Y31" s="3" t="s">
        <v>21</v>
      </c>
    </row>
    <row r="32" spans="1:37" hidden="1" x14ac:dyDescent="0.55000000000000004">
      <c r="A32" s="3"/>
      <c r="G32" s="5"/>
      <c r="H32" s="5"/>
      <c r="Q32" s="4" t="str">
        <f t="shared" si="0"/>
        <v>81,1,1,1</v>
      </c>
      <c r="R32" s="14">
        <v>8</v>
      </c>
      <c r="S32" s="12" t="s">
        <v>96</v>
      </c>
      <c r="T32" s="143">
        <v>53.1</v>
      </c>
      <c r="U32" s="15"/>
      <c r="W32" s="135" t="s">
        <v>103</v>
      </c>
      <c r="X32" s="136" t="s">
        <v>6</v>
      </c>
      <c r="Y32" s="136" t="s">
        <v>4</v>
      </c>
    </row>
    <row r="33" spans="1:33" s="10" customFormat="1" hidden="1" x14ac:dyDescent="0.55000000000000004">
      <c r="A33" s="3"/>
      <c r="B33" s="3"/>
      <c r="C33" s="3"/>
      <c r="D33" s="5"/>
      <c r="E33" s="5"/>
      <c r="F33"/>
      <c r="G33" s="5"/>
      <c r="H33" s="5"/>
      <c r="I33"/>
      <c r="J33"/>
      <c r="K33"/>
      <c r="L33"/>
      <c r="M33"/>
      <c r="N33"/>
      <c r="O33"/>
      <c r="P33"/>
      <c r="Q33" s="4" t="str">
        <f t="shared" si="0"/>
        <v>82,1,1,2</v>
      </c>
      <c r="R33" s="14">
        <v>8</v>
      </c>
      <c r="S33" s="12" t="s">
        <v>97</v>
      </c>
      <c r="T33" s="143">
        <v>50.6</v>
      </c>
      <c r="U33" s="15"/>
      <c r="V33"/>
      <c r="W33" s="28" t="s">
        <v>104</v>
      </c>
      <c r="X33" s="140">
        <f>B3*X18/1000</f>
        <v>0.26400000000000001</v>
      </c>
      <c r="Y33" s="8" t="s">
        <v>10</v>
      </c>
      <c r="Z33"/>
      <c r="AA33"/>
      <c r="AB33"/>
      <c r="AC33"/>
      <c r="AD33"/>
      <c r="AE33"/>
      <c r="AF33"/>
      <c r="AG33"/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/>
      <c r="N34"/>
      <c r="O34"/>
      <c r="P34"/>
      <c r="Q34" s="4" t="str">
        <f t="shared" si="0"/>
        <v>83,1,1,3</v>
      </c>
      <c r="R34" s="14">
        <v>8</v>
      </c>
      <c r="S34" s="12" t="s">
        <v>119</v>
      </c>
      <c r="T34" s="143">
        <v>49.4</v>
      </c>
      <c r="U34" s="15"/>
      <c r="V34"/>
      <c r="W34" s="28"/>
      <c r="X34" s="8"/>
      <c r="Y34" s="8"/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/>
      <c r="N35"/>
      <c r="O35"/>
      <c r="P35"/>
      <c r="Q35" s="4" t="str">
        <f t="shared" si="0"/>
        <v>161,1</v>
      </c>
      <c r="R35" s="14">
        <v>16</v>
      </c>
      <c r="S35" s="12" t="s">
        <v>92</v>
      </c>
      <c r="T35" s="143">
        <v>57.9</v>
      </c>
      <c r="U35" s="15"/>
      <c r="V35"/>
      <c r="W35" s="135" t="s">
        <v>148</v>
      </c>
      <c r="X35" s="136" t="s">
        <v>6</v>
      </c>
      <c r="Y35" s="136" t="s">
        <v>4</v>
      </c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 t="s">
        <v>97</v>
      </c>
      <c r="I36">
        <v>16</v>
      </c>
      <c r="J36" t="str">
        <f>H36&amp;I36</f>
        <v>2,1,1,216</v>
      </c>
      <c r="K36"/>
      <c r="L36"/>
      <c r="M36"/>
      <c r="N36"/>
      <c r="O36"/>
      <c r="P36"/>
      <c r="Q36" s="4" t="str">
        <f t="shared" si="0"/>
        <v>162,2</v>
      </c>
      <c r="R36" s="14">
        <v>16</v>
      </c>
      <c r="S36" s="12" t="s">
        <v>93</v>
      </c>
      <c r="T36" s="144">
        <v>49.2</v>
      </c>
      <c r="U36" s="16"/>
      <c r="V36"/>
      <c r="W36" s="28" t="s">
        <v>106</v>
      </c>
      <c r="X36" s="8">
        <f>ROUND(3*B4*B4*AH16/(1000),3)</f>
        <v>0.435</v>
      </c>
      <c r="Y36" s="8" t="s">
        <v>10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/>
      <c r="N37"/>
      <c r="O37"/>
      <c r="P37"/>
      <c r="Q37" s="4" t="str">
        <f t="shared" si="0"/>
        <v>163,3</v>
      </c>
      <c r="R37" s="14">
        <v>16</v>
      </c>
      <c r="S37" s="12" t="s">
        <v>211</v>
      </c>
      <c r="T37" s="144">
        <v>45.6</v>
      </c>
      <c r="U37" s="16"/>
      <c r="V37"/>
      <c r="W37" s="28" t="s">
        <v>108</v>
      </c>
      <c r="X37" s="140">
        <f>ROUND(3*B3*B4*X30*B6/(1000),3)*IF(B5="Discontinuous",2/3,1)</f>
        <v>0.216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 t="s">
        <v>97</v>
      </c>
      <c r="I38">
        <v>16</v>
      </c>
      <c r="J38" t="e">
        <f>H38&amp;I38,Q23</f>
        <v>#VALUE!</v>
      </c>
      <c r="K38"/>
      <c r="L38"/>
      <c r="M38"/>
      <c r="N38"/>
      <c r="O38"/>
      <c r="P38"/>
      <c r="Q38" s="4" t="str">
        <f t="shared" si="0"/>
        <v>161,1,1,1</v>
      </c>
      <c r="R38" s="14">
        <v>16</v>
      </c>
      <c r="S38" s="12" t="s">
        <v>96</v>
      </c>
      <c r="T38" s="143">
        <v>42.4</v>
      </c>
      <c r="U38" s="15"/>
      <c r="V38"/>
      <c r="W38" s="28" t="s">
        <v>110</v>
      </c>
      <c r="X38" s="140">
        <f>X22*5*B6*0.000000001*1000</f>
        <v>1.5625E-4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/>
      <c r="P39"/>
      <c r="Q39" s="4" t="str">
        <f t="shared" si="0"/>
        <v>162,1,1,2</v>
      </c>
      <c r="R39" s="14">
        <v>16</v>
      </c>
      <c r="S39" s="12" t="s">
        <v>97</v>
      </c>
      <c r="T39" s="143">
        <v>39.799999999999997</v>
      </c>
      <c r="U39" s="15"/>
      <c r="V39"/>
      <c r="W39" s="28" t="s">
        <v>149</v>
      </c>
      <c r="X39" s="8">
        <f>X36+X37+X38</f>
        <v>0.65115624999999999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/>
      <c r="P40"/>
      <c r="Q40" s="4" t="str">
        <f t="shared" si="0"/>
        <v>163,1,1,3</v>
      </c>
      <c r="R40" s="14">
        <v>16</v>
      </c>
      <c r="S40" s="12" t="s">
        <v>119</v>
      </c>
      <c r="T40" s="143">
        <v>38.299999999999997</v>
      </c>
      <c r="U40" s="15"/>
      <c r="V40"/>
      <c r="W40" s="11" t="s">
        <v>113</v>
      </c>
      <c r="X40" s="139">
        <f>3*2*B4*X31*B6*0.7/1000</f>
        <v>5.2499999999999998E-2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/>
      <c r="P41"/>
      <c r="Q41" s="4" t="str">
        <f t="shared" si="0"/>
        <v>201,1</v>
      </c>
      <c r="R41" s="14">
        <v>20</v>
      </c>
      <c r="S41" s="12" t="s">
        <v>92</v>
      </c>
      <c r="T41" s="143">
        <v>56</v>
      </c>
      <c r="U41" s="15"/>
      <c r="V41"/>
      <c r="W41" s="28" t="s">
        <v>115</v>
      </c>
      <c r="X41" s="139">
        <f>(B3-3.3)*B8*0.001</f>
        <v>0.10350000000000001</v>
      </c>
      <c r="Y41" s="8" t="s">
        <v>10</v>
      </c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>
        <v>64</v>
      </c>
      <c r="I42" t="s">
        <v>119</v>
      </c>
      <c r="J42" t="str">
        <f>H42&amp;I42</f>
        <v>643,1,1,3</v>
      </c>
      <c r="K42"/>
      <c r="L42"/>
      <c r="M42"/>
      <c r="N42"/>
      <c r="O42"/>
      <c r="P42"/>
      <c r="Q42" s="4" t="str">
        <f t="shared" si="0"/>
        <v>202,2</v>
      </c>
      <c r="R42" s="14">
        <v>20</v>
      </c>
      <c r="S42" s="12" t="s">
        <v>93</v>
      </c>
      <c r="T42" s="143">
        <v>46.9</v>
      </c>
      <c r="U42" s="15"/>
      <c r="V42"/>
      <c r="W42" s="11" t="s">
        <v>117</v>
      </c>
      <c r="X42" s="139">
        <v>6.25E-2</v>
      </c>
      <c r="Y42" s="5" t="s">
        <v>10</v>
      </c>
      <c r="Z42" s="8" t="s">
        <v>118</v>
      </c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/>
      <c r="P43"/>
      <c r="Q43" s="4" t="str">
        <f t="shared" si="0"/>
        <v>203,3</v>
      </c>
      <c r="R43" s="14">
        <v>20</v>
      </c>
      <c r="S43" s="12" t="s">
        <v>211</v>
      </c>
      <c r="T43" s="143">
        <v>43.2</v>
      </c>
      <c r="U43" s="15"/>
      <c r="V43"/>
      <c r="W43" s="28" t="s">
        <v>150</v>
      </c>
      <c r="X43" s="8">
        <f>ROUND((3*X27*B4)-E3,2)</f>
        <v>34.6</v>
      </c>
      <c r="Y43" s="8" t="s">
        <v>10</v>
      </c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24"/>
      <c r="B44" s="24"/>
      <c r="C44" s="24"/>
      <c r="D44" s="5"/>
      <c r="E44" s="5"/>
      <c r="F44" s="5"/>
      <c r="G44"/>
      <c r="H44"/>
      <c r="I44"/>
      <c r="J44"/>
      <c r="K44"/>
      <c r="L44"/>
      <c r="M44"/>
      <c r="N44"/>
      <c r="O44"/>
      <c r="P44"/>
      <c r="Q44" s="4" t="str">
        <f t="shared" si="0"/>
        <v>201,1,1,1</v>
      </c>
      <c r="R44" s="14">
        <v>20</v>
      </c>
      <c r="S44" s="12" t="s">
        <v>96</v>
      </c>
      <c r="T44" s="143">
        <v>39.9</v>
      </c>
      <c r="U44" s="15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5"/>
      <c r="B45" s="3"/>
      <c r="C45" s="3"/>
      <c r="D45" s="5"/>
      <c r="E45" s="3"/>
      <c r="F45" s="3"/>
      <c r="G45" s="5"/>
      <c r="H45"/>
      <c r="I45"/>
      <c r="J45"/>
      <c r="K45"/>
      <c r="L45"/>
      <c r="M45"/>
      <c r="N45"/>
      <c r="O45"/>
      <c r="P45"/>
      <c r="Q45" s="4" t="str">
        <f t="shared" si="0"/>
        <v>202,1,1,2</v>
      </c>
      <c r="R45" s="14">
        <v>20</v>
      </c>
      <c r="S45" s="12" t="s">
        <v>97</v>
      </c>
      <c r="T45" s="143">
        <v>37.299999999999997</v>
      </c>
      <c r="U45" s="1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 s="5"/>
      <c r="G46"/>
      <c r="H46"/>
      <c r="I46"/>
      <c r="J46"/>
      <c r="K46"/>
      <c r="L46"/>
      <c r="M46"/>
      <c r="N46"/>
      <c r="O46"/>
      <c r="P46"/>
      <c r="Q46" s="4" t="str">
        <f t="shared" si="0"/>
        <v>203,1,1,3</v>
      </c>
      <c r="R46" s="14">
        <v>20</v>
      </c>
      <c r="S46" s="12" t="s">
        <v>119</v>
      </c>
      <c r="T46" s="143">
        <v>35.799999999999997</v>
      </c>
      <c r="U46" s="15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idden="1" x14ac:dyDescent="0.55000000000000004">
      <c r="A47" s="23"/>
      <c r="B47" s="3"/>
      <c r="C47" s="3"/>
      <c r="D47" s="5"/>
      <c r="E47" s="5"/>
      <c r="F47"/>
      <c r="G47"/>
      <c r="H47"/>
      <c r="I47"/>
      <c r="J47"/>
      <c r="K47"/>
      <c r="L47"/>
      <c r="M47"/>
      <c r="N47"/>
      <c r="O47"/>
      <c r="P47"/>
      <c r="Q47" s="4" t="str">
        <f t="shared" si="0"/>
        <v>241,1</v>
      </c>
      <c r="R47" s="14">
        <v>24</v>
      </c>
      <c r="S47" s="12" t="s">
        <v>92</v>
      </c>
      <c r="T47" s="143">
        <v>54.6</v>
      </c>
      <c r="U47" s="15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" customFormat="1" hidden="1" x14ac:dyDescent="0.55000000000000004">
      <c r="A48" s="24"/>
      <c r="B48" s="24"/>
      <c r="C48" s="24"/>
      <c r="D48" s="5"/>
      <c r="E48" s="5"/>
      <c r="F48"/>
      <c r="Q48" s="4" t="str">
        <f t="shared" si="0"/>
        <v>242,2</v>
      </c>
      <c r="R48" s="14">
        <v>24</v>
      </c>
      <c r="S48" s="12" t="s">
        <v>93</v>
      </c>
      <c r="T48" s="143">
        <v>45.2</v>
      </c>
      <c r="U48" s="15"/>
    </row>
    <row r="49" spans="1:33" s="4" customFormat="1" hidden="1" x14ac:dyDescent="0.55000000000000004">
      <c r="A49" s="25"/>
      <c r="D49" s="7"/>
      <c r="E49" s="7"/>
      <c r="Q49" s="4" t="str">
        <f t="shared" si="0"/>
        <v>243,3</v>
      </c>
      <c r="R49" s="14">
        <v>24</v>
      </c>
      <c r="S49" s="12" t="s">
        <v>211</v>
      </c>
      <c r="T49" s="143">
        <v>41.4</v>
      </c>
      <c r="U49" s="15"/>
    </row>
    <row r="50" spans="1:33" s="10" customFormat="1" hidden="1" x14ac:dyDescent="0.55000000000000004">
      <c r="A50" s="24"/>
      <c r="B50" s="24"/>
      <c r="C50" s="24"/>
      <c r="D50" s="7"/>
      <c r="E50" s="7"/>
      <c r="F50" s="4"/>
      <c r="G50"/>
      <c r="H50"/>
      <c r="I50"/>
      <c r="J50"/>
      <c r="K50"/>
      <c r="L50"/>
      <c r="M50"/>
      <c r="N50"/>
      <c r="O50"/>
      <c r="P50"/>
      <c r="Q50" s="4" t="str">
        <f t="shared" si="0"/>
        <v>241,1,1,1</v>
      </c>
      <c r="R50" s="14">
        <v>24</v>
      </c>
      <c r="S50" s="12" t="s">
        <v>96</v>
      </c>
      <c r="T50" s="143">
        <v>38.200000000000003</v>
      </c>
      <c r="U50" s="15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24"/>
      <c r="B51" s="3"/>
      <c r="C51" s="3"/>
      <c r="D51" s="5"/>
      <c r="E51" s="5"/>
      <c r="F51"/>
      <c r="G51"/>
      <c r="H51"/>
      <c r="I51"/>
      <c r="J51"/>
      <c r="K51"/>
      <c r="L51"/>
      <c r="M51"/>
      <c r="N51"/>
      <c r="O51"/>
      <c r="P51"/>
      <c r="Q51" s="4" t="str">
        <f t="shared" si="0"/>
        <v>242,1,1,2</v>
      </c>
      <c r="R51" s="14">
        <v>24</v>
      </c>
      <c r="S51" s="12" t="s">
        <v>97</v>
      </c>
      <c r="T51" s="143">
        <v>35.5</v>
      </c>
      <c r="U51" s="15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/>
      <c r="H52"/>
      <c r="I52"/>
      <c r="J52"/>
      <c r="K52"/>
      <c r="L52"/>
      <c r="M52"/>
      <c r="N52"/>
      <c r="O52"/>
      <c r="P52"/>
      <c r="Q52" s="4" t="str">
        <f t="shared" si="0"/>
        <v>243,1,1,3</v>
      </c>
      <c r="R52" s="14">
        <v>24</v>
      </c>
      <c r="S52" s="12" t="s">
        <v>119</v>
      </c>
      <c r="T52" s="143">
        <v>34</v>
      </c>
      <c r="U52" s="15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/>
      <c r="N53"/>
      <c r="O53"/>
      <c r="P53"/>
      <c r="Q53" s="4" t="str">
        <f t="shared" si="0"/>
        <v>321,1</v>
      </c>
      <c r="R53" s="14">
        <v>32</v>
      </c>
      <c r="S53" s="12" t="s">
        <v>92</v>
      </c>
      <c r="T53" s="143">
        <v>52.9</v>
      </c>
      <c r="U53" s="15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/>
      <c r="N54"/>
      <c r="O54"/>
      <c r="P54"/>
      <c r="Q54" s="4" t="str">
        <f t="shared" si="0"/>
        <v>322,2</v>
      </c>
      <c r="R54" s="14">
        <v>32</v>
      </c>
      <c r="S54" s="12" t="s">
        <v>93</v>
      </c>
      <c r="T54" s="144">
        <v>43</v>
      </c>
      <c r="U54" s="15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/>
      <c r="O55"/>
      <c r="P55"/>
      <c r="Q55" s="4" t="str">
        <f t="shared" si="0"/>
        <v>323,3</v>
      </c>
      <c r="R55" s="14">
        <v>32</v>
      </c>
      <c r="S55" s="12" t="s">
        <v>211</v>
      </c>
      <c r="T55" s="144">
        <v>39</v>
      </c>
      <c r="U55" s="1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/>
      <c r="P56"/>
      <c r="Q56" s="4" t="str">
        <f t="shared" si="0"/>
        <v>321,1,1,1</v>
      </c>
      <c r="R56" s="14">
        <v>32</v>
      </c>
      <c r="S56" s="12" t="s">
        <v>96</v>
      </c>
      <c r="T56" s="143">
        <v>35.9</v>
      </c>
      <c r="U56" s="15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/>
      <c r="P57"/>
      <c r="Q57" s="4" t="str">
        <f t="shared" si="0"/>
        <v>322,1,1,2</v>
      </c>
      <c r="R57" s="14">
        <v>32</v>
      </c>
      <c r="S57" s="12" t="s">
        <v>97</v>
      </c>
      <c r="T57" s="143">
        <v>33.1</v>
      </c>
      <c r="U57" s="15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/>
      <c r="P58"/>
      <c r="Q58" s="4" t="str">
        <f t="shared" si="0"/>
        <v>323,1,1,3</v>
      </c>
      <c r="R58" s="14">
        <v>32</v>
      </c>
      <c r="S58" s="12" t="s">
        <v>119</v>
      </c>
      <c r="T58" s="143">
        <v>31.5</v>
      </c>
      <c r="U58" s="15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t="43.5" hidden="1" customHeight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/>
      <c r="P59"/>
      <c r="Q59" s="4" t="str">
        <f t="shared" si="0"/>
        <v>481,1</v>
      </c>
      <c r="R59" s="14">
        <v>48</v>
      </c>
      <c r="S59" s="12" t="s">
        <v>92</v>
      </c>
      <c r="T59" s="143">
        <v>51.1</v>
      </c>
      <c r="U59" s="15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/>
      <c r="P60"/>
      <c r="Q60" s="4" t="str">
        <f t="shared" si="0"/>
        <v>482,2</v>
      </c>
      <c r="R60" s="14">
        <v>48</v>
      </c>
      <c r="S60" s="12" t="s">
        <v>93</v>
      </c>
      <c r="T60" s="143">
        <v>40.6</v>
      </c>
      <c r="U60" s="15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/>
      <c r="P61"/>
      <c r="Q61" s="4" t="str">
        <f t="shared" si="0"/>
        <v>483,3</v>
      </c>
      <c r="R61" s="14">
        <v>48</v>
      </c>
      <c r="S61" s="12" t="s">
        <v>211</v>
      </c>
      <c r="T61" s="143">
        <v>36.4</v>
      </c>
      <c r="U61" s="15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/>
      <c r="P62"/>
      <c r="Q62" s="4" t="str">
        <f t="shared" si="0"/>
        <v>481,1,1,1</v>
      </c>
      <c r="R62" s="14">
        <v>48</v>
      </c>
      <c r="S62" s="12" t="s">
        <v>96</v>
      </c>
      <c r="T62" s="143">
        <v>33.200000000000003</v>
      </c>
      <c r="U62" s="15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/>
      <c r="P63"/>
      <c r="Q63" s="4" t="str">
        <f t="shared" si="0"/>
        <v>482,1,1,2</v>
      </c>
      <c r="R63" s="14">
        <v>48</v>
      </c>
      <c r="S63" s="12" t="s">
        <v>97</v>
      </c>
      <c r="T63" s="143">
        <v>30.3</v>
      </c>
      <c r="U63" s="15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/>
      <c r="P64"/>
      <c r="Q64" s="4" t="str">
        <f t="shared" si="0"/>
        <v>483,1,1,3</v>
      </c>
      <c r="R64" s="14">
        <v>48</v>
      </c>
      <c r="S64" s="12" t="s">
        <v>119</v>
      </c>
      <c r="T64" s="143">
        <v>28.7</v>
      </c>
      <c r="U64" s="15"/>
      <c r="V64"/>
      <c r="W64"/>
      <c r="X64"/>
      <c r="Y64"/>
      <c r="Z64"/>
      <c r="AA64"/>
      <c r="AB64"/>
      <c r="AC64"/>
      <c r="AD64"/>
      <c r="AE64"/>
      <c r="AF64"/>
      <c r="AG64"/>
    </row>
    <row r="65" spans="4:37" s="3" customFormat="1" hidden="1" x14ac:dyDescent="0.55000000000000004">
      <c r="D65" s="5"/>
      <c r="E65" s="5"/>
      <c r="F65"/>
      <c r="G65"/>
      <c r="H65"/>
      <c r="I65"/>
      <c r="J65"/>
      <c r="K65"/>
      <c r="L65"/>
      <c r="M65"/>
      <c r="N65"/>
      <c r="O65"/>
      <c r="P65"/>
      <c r="Q65" s="4" t="str">
        <f t="shared" si="0"/>
        <v>641,1</v>
      </c>
      <c r="R65" s="14">
        <v>64</v>
      </c>
      <c r="S65" s="12" t="s">
        <v>92</v>
      </c>
      <c r="T65" s="143">
        <v>50.2</v>
      </c>
      <c r="U65" s="15"/>
      <c r="V65"/>
      <c r="W65"/>
      <c r="X65"/>
      <c r="Y65"/>
      <c r="Z65"/>
      <c r="AA65"/>
      <c r="AB65"/>
      <c r="AC65"/>
      <c r="AD65"/>
      <c r="AE65"/>
      <c r="AF65"/>
      <c r="AG65"/>
      <c r="AH65" s="10"/>
      <c r="AI65" s="10"/>
      <c r="AJ65" s="10"/>
      <c r="AK65" s="10"/>
    </row>
    <row r="66" spans="4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 s="4" t="str">
        <f t="shared" si="0"/>
        <v>642,2</v>
      </c>
      <c r="R66" s="14">
        <v>64</v>
      </c>
      <c r="S66" s="12" t="s">
        <v>93</v>
      </c>
      <c r="T66" s="144">
        <v>39.4</v>
      </c>
      <c r="U66" s="15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4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 s="4" t="str">
        <f t="shared" si="0"/>
        <v>643,3</v>
      </c>
      <c r="R67" s="14">
        <v>64</v>
      </c>
      <c r="S67" s="12" t="s">
        <v>211</v>
      </c>
      <c r="T67" s="144">
        <v>35</v>
      </c>
      <c r="U67" s="15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4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 s="4" t="str">
        <f t="shared" si="0"/>
        <v>641,1,1,1</v>
      </c>
      <c r="R68" s="14">
        <v>64</v>
      </c>
      <c r="S68" s="12" t="s">
        <v>96</v>
      </c>
      <c r="T68" s="143">
        <v>31.9</v>
      </c>
      <c r="U68" s="15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4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 s="4" t="str">
        <f t="shared" si="0"/>
        <v>642,1,1,2</v>
      </c>
      <c r="R69" s="36">
        <v>64</v>
      </c>
      <c r="S69" s="37" t="s">
        <v>97</v>
      </c>
      <c r="T69" s="145">
        <v>28.9</v>
      </c>
      <c r="U69" s="38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4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 s="40" t="str">
        <f t="shared" si="0"/>
        <v>643,1,1,3</v>
      </c>
      <c r="R70" s="39">
        <v>64</v>
      </c>
      <c r="S70" s="12" t="s">
        <v>119</v>
      </c>
      <c r="T70" s="143">
        <v>27.2</v>
      </c>
      <c r="U70" s="41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4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 s="40"/>
      <c r="R71" s="39"/>
      <c r="S71" s="12"/>
      <c r="T71" s="143"/>
      <c r="U71" s="4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4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 s="40"/>
      <c r="R72" s="39"/>
      <c r="S72" s="12"/>
      <c r="T72" s="143"/>
      <c r="U72" s="41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4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 s="40"/>
      <c r="R73" s="39"/>
      <c r="S73" s="12"/>
      <c r="T73" s="143"/>
      <c r="U73" s="41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4:37" s="3" customFormat="1" ht="14.7" hidden="1" thickBot="1" x14ac:dyDescent="0.6">
      <c r="D74" s="5"/>
      <c r="E74" s="5"/>
      <c r="F74"/>
      <c r="G74"/>
      <c r="H74"/>
      <c r="I74"/>
      <c r="J74"/>
      <c r="K74"/>
      <c r="L74"/>
      <c r="M74"/>
      <c r="N74"/>
      <c r="O74"/>
      <c r="P74"/>
      <c r="Q74" s="40"/>
      <c r="R74" s="132"/>
      <c r="S74" s="133"/>
      <c r="T74" s="146"/>
      <c r="U74" s="42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4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4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4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4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4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4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3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5"/>
    </row>
    <row r="86" spans="1:33" s="10" customFormat="1" hidden="1" x14ac:dyDescent="0.55000000000000004">
      <c r="A86" s="2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3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</sheetData>
  <sheetProtection algorithmName="SHA-512" hashValue="658MLYQU5ivbOmt8GcT642ASMAw3GT0cEZARq6YzevgQtUWGb4P4/FsZDkPkqpCM3go1Ud/iKcMZFN31szwZ3A==" saltValue="GeX64SHTs0bgUguECtXRuQ==" spinCount="100000" sheet="1" selectLockedCells="1"/>
  <mergeCells count="8">
    <mergeCell ref="AC15:AD15"/>
    <mergeCell ref="AE15:AF15"/>
    <mergeCell ref="AG15:AH15"/>
    <mergeCell ref="R18:T18"/>
    <mergeCell ref="R21:U21"/>
    <mergeCell ref="B1:F1"/>
    <mergeCell ref="A14:C14"/>
    <mergeCell ref="R15:U15"/>
  </mergeCells>
  <dataValidations count="13">
    <dataValidation type="decimal" allowBlank="1" showInputMessage="1" showErrorMessage="1" error="AVDD output current out of range" prompt="Enter the AVDD output load current between 0 to 20 mA" sqref="B8" xr:uid="{AA477283-E3B5-41CB-BE70-60BD252FE420}">
      <formula1>0</formula1>
      <formula2>20</formula2>
    </dataValidation>
    <dataValidation type="list" allowBlank="1" showInputMessage="1" showErrorMessage="1" prompt="Select copper thickness of top/bottom layers (oz)" sqref="B12" xr:uid="{8EBD0ED4-6E9B-43B3-8334-B87A5A4C1886}">
      <formula1>$H$16:$H$18</formula1>
    </dataValidation>
    <dataValidation type="list" allowBlank="1" showInputMessage="1" showErrorMessage="1" prompt="Select PWM modulation type" sqref="B5" xr:uid="{CE528F10-DB7E-4D72-9FD1-9CA5AE8E6403}">
      <formula1>$N$16:$N$17</formula1>
    </dataValidation>
    <dataValidation type="list" allowBlank="1" showInputMessage="1" showErrorMessage="1" error="This PWM frequency is outside of the operating range of the DRV8316" prompt="Select a PWM frequency between 10kHz and 75kHz" sqref="B6" xr:uid="{9ECBC9D3-7C01-4A33-A573-C63298A18DE4}">
      <formula1>$M$16:$M$29</formula1>
    </dataValidation>
    <dataValidation type="list" allowBlank="1" showInputMessage="1" showErrorMessage="1" prompt="Select # of PCB Layers" sqref="B11" xr:uid="{5F5A18B9-B2FB-4486-8246-433060E99819}">
      <formula1>$G$16:$G$17</formula1>
    </dataValidation>
    <dataValidation type="list" allowBlank="1" showInputMessage="1" showErrorMessage="1" prompt="Select PCB area (cm2)" sqref="B13" xr:uid="{7B5A3C9E-20C9-4616-8450-2A98120D8133}">
      <formula1>$J$16:$J$23</formula1>
    </dataValidation>
    <dataValidation type="list" allowBlank="1" showInputMessage="1" showErrorMessage="1" prompt="Select an output slew rate setting (V/us)" sqref="B7" xr:uid="{4FA9F976-5F13-42F2-BB2B-2B66DBD15387}">
      <formula1>$K$16:$K$17</formula1>
    </dataValidation>
    <dataValidation type="decimal" allowBlank="1" showInputMessage="1" showErrorMessage="1" error="This current is outside the operating range of the DRV8316" prompt="Enter an RMS current between 0 and 5.657 amps" sqref="B4" xr:uid="{F4CD77EE-0D18-4ACA-9D20-C27DDB087418}">
      <formula1>0</formula1>
      <formula2>5.657</formula2>
    </dataValidation>
    <dataValidation type="list" allowBlank="1" showInputMessage="1" showErrorMessage="1" prompt="Select copper thickness of top/bottom layers (oz)" sqref="X23 AF15 AB9" xr:uid="{802EEB06-08E2-4A4F-B0F6-7EEE1F20E203}">
      <formula1>$H$16:$H$17</formula1>
    </dataValidation>
    <dataValidation type="list" allowBlank="1" showInputMessage="1" showErrorMessage="1" prompt="Select copper thickness of internal layers if more than 2 layer PCB (oz)" sqref="X23" xr:uid="{53FE4E43-BC6F-465A-ADBA-2D50DAE29A12}">
      <formula1>$I$16:$I$17</formula1>
    </dataValidation>
    <dataValidation type="decimal" allowBlank="1" showInputMessage="1" showErrorMessage="1" error="This voltage is outside the operating range of the DRV8316" prompt="Enter a motor supply voltage between 4.5 to 35 volts" sqref="B3" xr:uid="{553F441A-47A2-4439-8CFE-687684F53144}">
      <formula1>4.5</formula1>
      <formula2>35</formula2>
    </dataValidation>
    <dataValidation allowBlank="1" showInputMessage="1" showErrorMessage="1" prompt="Enter the operating ambient temperature" sqref="X21" xr:uid="{62A6719E-A667-426B-99C1-EEA622D186FE}"/>
    <dataValidation type="decimal" allowBlank="1" showInputMessage="1" showErrorMessage="1" error="This ambient temperature is outside the operating range of the DRV8316" prompt="Enter the ambient temperature for normal operation from -40C to 125C" sqref="B9" xr:uid="{915D6594-C426-4D46-8759-C6CAC588C502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3370E-EB55-4355-AC30-093BBF4ECBD9}">
  <dimension ref="A1:AK87"/>
  <sheetViews>
    <sheetView tabSelected="1" zoomScale="85" zoomScaleNormal="85" workbookViewId="0">
      <selection activeCell="A13" sqref="A13"/>
    </sheetView>
  </sheetViews>
  <sheetFormatPr defaultColWidth="0" defaultRowHeight="14.4" zeroHeight="1" x14ac:dyDescent="0.55000000000000004"/>
  <cols>
    <col min="1" max="1" width="56.4726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/>
    <col min="8" max="8" width="28.5234375" hidden="1"/>
    <col min="9" max="9" width="24.5234375" hidden="1"/>
    <col min="10" max="10" width="10.47265625" hidden="1"/>
    <col min="11" max="13" width="10.5234375" hidden="1"/>
    <col min="14" max="14" width="14.5234375" hidden="1"/>
    <col min="15" max="15" width="13.7890625" hidden="1"/>
    <col min="16" max="16" width="8.5234375" hidden="1"/>
    <col min="17" max="17" width="14.5234375" hidden="1"/>
    <col min="18" max="18" width="19.47265625" hidden="1"/>
    <col min="19" max="19" width="12.47265625" hidden="1"/>
    <col min="20" max="20" width="19.7890625" hidden="1"/>
    <col min="21" max="21" width="19.15625" hidden="1"/>
    <col min="22" max="22" width="8.83984375" hidden="1"/>
    <col min="23" max="23" width="22.5234375" hidden="1"/>
    <col min="24" max="24" width="12.47265625" hidden="1"/>
    <col min="25" max="25" width="15.47265625" hidden="1"/>
    <col min="26" max="26" width="33" hidden="1"/>
    <col min="27" max="27" width="15.5234375" hidden="1"/>
    <col min="28" max="28" width="14.5234375" hidden="1"/>
    <col min="29" max="29" width="14.47265625" hidden="1"/>
    <col min="30" max="30" width="12.47265625" hidden="1"/>
    <col min="31" max="31" width="15.15625" hidden="1"/>
    <col min="32" max="32" width="13.47265625" hidden="1"/>
    <col min="33" max="33" width="15.47265625" hidden="1"/>
    <col min="34" max="34" width="13.47265625" style="10" hidden="1"/>
    <col min="35" max="35" width="10.47265625" style="10" hidden="1"/>
    <col min="36" max="36" width="16.7890625" style="10" hidden="1"/>
    <col min="37" max="37" width="16.5234375" style="10" hidden="1"/>
    <col min="38" max="16384" width="8.83984375" hidden="1"/>
  </cols>
  <sheetData>
    <row r="1" spans="1:37" ht="14.7" thickBot="1" x14ac:dyDescent="0.6">
      <c r="A1" s="142" t="s">
        <v>157</v>
      </c>
      <c r="B1" s="185" t="s">
        <v>158</v>
      </c>
      <c r="C1" s="185"/>
      <c r="D1" s="185"/>
      <c r="E1" s="185"/>
      <c r="F1" s="185"/>
    </row>
    <row r="2" spans="1:37" ht="14.5" customHeight="1" thickBot="1" x14ac:dyDescent="0.6">
      <c r="A2" s="106" t="s">
        <v>2</v>
      </c>
      <c r="B2" s="107" t="s">
        <v>159</v>
      </c>
      <c r="C2" s="108" t="s">
        <v>4</v>
      </c>
      <c r="D2" s="109" t="s">
        <v>5</v>
      </c>
      <c r="E2" s="110" t="s">
        <v>6</v>
      </c>
      <c r="F2" s="110" t="s">
        <v>4</v>
      </c>
    </row>
    <row r="3" spans="1:37" ht="14.5" customHeight="1" thickBot="1" x14ac:dyDescent="0.6">
      <c r="A3" s="86" t="s">
        <v>7</v>
      </c>
      <c r="B3" s="111">
        <v>24</v>
      </c>
      <c r="C3" s="112" t="s">
        <v>8</v>
      </c>
      <c r="D3" s="66" t="s">
        <v>9</v>
      </c>
      <c r="E3" s="113">
        <f>ROUND(IF(U20=-1,"n/a",$AH$18),2)</f>
        <v>2.0299999999999998</v>
      </c>
      <c r="F3" s="112" t="s">
        <v>10</v>
      </c>
    </row>
    <row r="4" spans="1:37" ht="14.5" customHeight="1" thickBot="1" x14ac:dyDescent="0.6">
      <c r="A4" s="88" t="s">
        <v>140</v>
      </c>
      <c r="B4" s="114">
        <v>2.5</v>
      </c>
      <c r="C4" s="115" t="s">
        <v>12</v>
      </c>
      <c r="D4" s="66" t="s">
        <v>13</v>
      </c>
      <c r="E4" s="3">
        <f>ROUND(IF(U20=-1,"n/a",$AH$19),2)</f>
        <v>90.31</v>
      </c>
      <c r="F4" s="112" t="s">
        <v>84</v>
      </c>
    </row>
    <row r="5" spans="1:37" ht="14.5" customHeight="1" x14ac:dyDescent="0.55000000000000004">
      <c r="A5" s="116" t="s">
        <v>141</v>
      </c>
      <c r="B5" s="114" t="s">
        <v>142</v>
      </c>
      <c r="C5" s="115"/>
      <c r="D5" s="117"/>
      <c r="E5" s="117"/>
      <c r="F5" s="117"/>
    </row>
    <row r="6" spans="1:37" ht="14.5" customHeight="1" x14ac:dyDescent="0.55000000000000004">
      <c r="A6" s="86" t="s">
        <v>24</v>
      </c>
      <c r="B6" s="111">
        <v>20</v>
      </c>
      <c r="C6" s="112" t="s">
        <v>25</v>
      </c>
    </row>
    <row r="7" spans="1:37" ht="14.5" customHeight="1" x14ac:dyDescent="0.55000000000000004">
      <c r="A7" s="92" t="s">
        <v>26</v>
      </c>
      <c r="B7" s="114">
        <v>200</v>
      </c>
      <c r="C7" s="115" t="s">
        <v>27</v>
      </c>
    </row>
    <row r="8" spans="1:37" ht="14.5" customHeight="1" x14ac:dyDescent="0.55000000000000004">
      <c r="A8" s="93" t="s">
        <v>28</v>
      </c>
      <c r="B8" s="72">
        <v>5</v>
      </c>
      <c r="C8" s="78" t="s">
        <v>29</v>
      </c>
    </row>
    <row r="9" spans="1:37" ht="14.5" customHeight="1" thickBot="1" x14ac:dyDescent="0.6">
      <c r="A9" s="118" t="s">
        <v>30</v>
      </c>
      <c r="B9" s="73">
        <v>25</v>
      </c>
      <c r="C9" s="119" t="s">
        <v>14</v>
      </c>
      <c r="Y9" s="25"/>
      <c r="Z9" s="24"/>
      <c r="AA9" s="24"/>
      <c r="AB9" s="3"/>
      <c r="AC9" s="5"/>
    </row>
    <row r="10" spans="1:37" ht="14.5" customHeight="1" thickBot="1" x14ac:dyDescent="0.6">
      <c r="A10" s="120" t="s">
        <v>31</v>
      </c>
      <c r="B10" s="107"/>
      <c r="C10" s="108"/>
    </row>
    <row r="11" spans="1:37" ht="34.450000000000003" customHeight="1" x14ac:dyDescent="0.55000000000000004">
      <c r="A11" s="121" t="s">
        <v>32</v>
      </c>
      <c r="B11" s="122">
        <v>4</v>
      </c>
      <c r="C11" s="112" t="s">
        <v>33</v>
      </c>
    </row>
    <row r="12" spans="1:37" ht="14.5" customHeight="1" x14ac:dyDescent="0.55000000000000004">
      <c r="A12" s="123" t="s">
        <v>34</v>
      </c>
      <c r="B12" s="114">
        <v>2</v>
      </c>
      <c r="C12" s="124" t="s">
        <v>35</v>
      </c>
    </row>
    <row r="13" spans="1:37" s="1" customFormat="1" ht="25.5" customHeight="1" thickBot="1" x14ac:dyDescent="0.6">
      <c r="A13" s="118" t="s">
        <v>36</v>
      </c>
      <c r="B13" s="125">
        <v>16</v>
      </c>
      <c r="C13" s="12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6" t="s">
        <v>160</v>
      </c>
      <c r="B14" s="187"/>
      <c r="C14" s="188"/>
      <c r="D14" s="1"/>
      <c r="E14" s="1"/>
      <c r="F14" s="1"/>
      <c r="W14" s="137" t="s">
        <v>39</v>
      </c>
      <c r="X14" s="138" t="s">
        <v>6</v>
      </c>
      <c r="Y14" s="138" t="s">
        <v>4</v>
      </c>
    </row>
    <row r="15" spans="1:37" ht="14.7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9" t="s">
        <v>47</v>
      </c>
      <c r="S15" s="190"/>
      <c r="T15" s="190"/>
      <c r="U15" s="191"/>
      <c r="W15" s="28" t="s">
        <v>48</v>
      </c>
      <c r="X15" s="8">
        <v>1.4829000000000001</v>
      </c>
      <c r="Y15" s="8" t="s">
        <v>12</v>
      </c>
      <c r="AC15" s="192" t="s">
        <v>49</v>
      </c>
      <c r="AD15" s="193"/>
      <c r="AE15" s="192" t="s">
        <v>50</v>
      </c>
      <c r="AF15" s="193"/>
      <c r="AG15" s="192" t="s">
        <v>51</v>
      </c>
      <c r="AH15" s="193"/>
    </row>
    <row r="16" spans="1:37" ht="14.7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25</v>
      </c>
      <c r="L16" s="6">
        <v>1.8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47.5</v>
      </c>
      <c r="AE16" s="29" t="s">
        <v>59</v>
      </c>
      <c r="AF16">
        <f>$X$19+($AA$19*(AD19-25))</f>
        <v>57.991484499999999</v>
      </c>
      <c r="AG16" s="29" t="s">
        <v>60</v>
      </c>
      <c r="AH16">
        <f>$X$19+($AA$19*(AF19-25))</f>
        <v>59.127500500000004</v>
      </c>
    </row>
    <row r="17" spans="1:37" ht="14.7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50</v>
      </c>
      <c r="L17" s="6">
        <v>1.1000000000000001</v>
      </c>
      <c r="M17" s="6">
        <v>15</v>
      </c>
      <c r="N17" s="6" t="s">
        <v>142</v>
      </c>
      <c r="O17" s="8"/>
      <c r="P17" s="8"/>
      <c r="R17" s="14">
        <f>B12</f>
        <v>2</v>
      </c>
      <c r="S17" s="12">
        <f>IF(B11&gt;2,X23,"")</f>
        <v>1</v>
      </c>
      <c r="T17" s="12">
        <f>IF(B11&gt;2,X23,"")</f>
        <v>1</v>
      </c>
      <c r="U17" s="15">
        <f>B12</f>
        <v>2</v>
      </c>
      <c r="W17" s="28"/>
      <c r="X17" s="8"/>
      <c r="Y17" s="8"/>
      <c r="AC17" s="30" t="s">
        <v>63</v>
      </c>
      <c r="AD17" s="9">
        <f>ROUND(3*$B$4*$B$4*AD16/(1000),3)</f>
        <v>0.89100000000000001</v>
      </c>
      <c r="AE17" s="30" t="s">
        <v>64</v>
      </c>
      <c r="AF17" s="9">
        <f>ROUND(3*$B$4*$B$4*AF16/(1000),3)</f>
        <v>1.087</v>
      </c>
      <c r="AG17" s="30" t="s">
        <v>65</v>
      </c>
      <c r="AH17" s="9">
        <f>ROUND(3*$B$4*$B$4*AH16/(1000),3)</f>
        <v>1.109</v>
      </c>
    </row>
    <row r="18" spans="1:37" ht="29.1" hidden="1" thickBot="1" x14ac:dyDescent="0.6">
      <c r="G18" s="6"/>
      <c r="H18" s="6">
        <v>3</v>
      </c>
      <c r="I18" s="6"/>
      <c r="J18" s="26">
        <v>16</v>
      </c>
      <c r="K18" s="6">
        <v>125</v>
      </c>
      <c r="L18" s="6">
        <v>0.65</v>
      </c>
      <c r="M18" s="6">
        <v>20</v>
      </c>
      <c r="N18" s="6"/>
      <c r="O18" s="8"/>
      <c r="P18" s="8"/>
      <c r="Q18" s="8"/>
      <c r="R18" s="179" t="s">
        <v>66</v>
      </c>
      <c r="S18" s="180"/>
      <c r="T18" s="181"/>
      <c r="U18" s="33" t="s">
        <v>67</v>
      </c>
      <c r="W18" s="28" t="s">
        <v>155</v>
      </c>
      <c r="X18" s="8">
        <v>15</v>
      </c>
      <c r="Y18" s="8" t="s">
        <v>29</v>
      </c>
      <c r="Z18" t="s">
        <v>156</v>
      </c>
      <c r="AC18" s="30" t="s">
        <v>70</v>
      </c>
      <c r="AD18" s="9">
        <f>AD17+$AA$20</f>
        <v>1.810125</v>
      </c>
      <c r="AE18" s="30" t="s">
        <v>71</v>
      </c>
      <c r="AF18" s="9">
        <f>AF17+$AA$20</f>
        <v>2.0061249999999999</v>
      </c>
      <c r="AG18" s="31" t="s">
        <v>72</v>
      </c>
      <c r="AH18" s="32">
        <f>AH17+$AA$20</f>
        <v>2.0281250000000002</v>
      </c>
    </row>
    <row r="19" spans="1:37" ht="14.7" hidden="1" thickBot="1" x14ac:dyDescent="0.6">
      <c r="G19" s="6"/>
      <c r="H19" s="6"/>
      <c r="I19" s="6"/>
      <c r="J19" s="26">
        <v>32</v>
      </c>
      <c r="K19" s="6">
        <v>200</v>
      </c>
      <c r="L19" s="6">
        <v>0.5</v>
      </c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47.5</v>
      </c>
      <c r="Y19" s="8" t="s">
        <v>78</v>
      </c>
      <c r="Z19" t="s">
        <v>85</v>
      </c>
      <c r="AA19">
        <f>(X20-X19)/(150-25)</f>
        <v>0.18</v>
      </c>
      <c r="AC19" s="30" t="s">
        <v>79</v>
      </c>
      <c r="AD19" s="9">
        <f>$B$9+(AD18*$X$24)</f>
        <v>83.286024999999995</v>
      </c>
      <c r="AE19" s="30" t="s">
        <v>80</v>
      </c>
      <c r="AF19" s="9">
        <f>$B$9+(AF18*$X$24)</f>
        <v>89.597225000000009</v>
      </c>
      <c r="AG19" s="31" t="s">
        <v>81</v>
      </c>
      <c r="AH19" s="32">
        <f>$B$9+(AH18*$X$24)</f>
        <v>90.305625000000006</v>
      </c>
    </row>
    <row r="20" spans="1:37" ht="43.2" hidden="1" x14ac:dyDescent="0.55000000000000004">
      <c r="A20" s="3"/>
      <c r="G20" s="6"/>
      <c r="H20" s="6"/>
      <c r="I20" s="6"/>
      <c r="J20" s="26">
        <v>64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2,1,1,2</v>
      </c>
      <c r="S20" s="12">
        <f>B13</f>
        <v>16</v>
      </c>
      <c r="T20" s="12"/>
      <c r="U20" s="15">
        <f>VLOOKUP(S20&amp;R20,Q23:T47,4,FALSE)</f>
        <v>32.200000000000003</v>
      </c>
      <c r="W20" s="28" t="s">
        <v>138</v>
      </c>
      <c r="X20" s="8">
        <v>70</v>
      </c>
      <c r="Y20" s="8" t="s">
        <v>78</v>
      </c>
      <c r="Z20" s="27" t="s">
        <v>146</v>
      </c>
      <c r="AA20">
        <f>X33+X37+X38+X40+X41+X42</f>
        <v>0.91912499999999997</v>
      </c>
    </row>
    <row r="21" spans="1:37" hidden="1" x14ac:dyDescent="0.55000000000000004">
      <c r="A21" s="3"/>
      <c r="G21" s="5"/>
      <c r="H21" s="5"/>
      <c r="M21" s="6">
        <v>35</v>
      </c>
      <c r="R21" s="182" t="s">
        <v>83</v>
      </c>
      <c r="S21" s="183"/>
      <c r="T21" s="183"/>
      <c r="U21" s="184"/>
      <c r="W21" s="28" t="s">
        <v>30</v>
      </c>
      <c r="X21" s="8">
        <v>25</v>
      </c>
      <c r="Y21" s="8" t="s">
        <v>84</v>
      </c>
    </row>
    <row r="22" spans="1:37" hidden="1" x14ac:dyDescent="0.55000000000000004">
      <c r="A22" s="3"/>
      <c r="G22" s="5"/>
      <c r="H22" s="5"/>
      <c r="M22" s="6">
        <v>40</v>
      </c>
      <c r="Q22" s="4" t="s">
        <v>86</v>
      </c>
      <c r="R22" s="127" t="s">
        <v>87</v>
      </c>
      <c r="S22" s="128" t="s">
        <v>73</v>
      </c>
      <c r="T22" s="12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28.8" hidden="1" x14ac:dyDescent="0.55000000000000004">
      <c r="A23" s="24"/>
      <c r="B23" s="24"/>
      <c r="C23" s="24"/>
      <c r="G23" s="5"/>
      <c r="H23" s="5"/>
      <c r="M23" s="6">
        <v>45</v>
      </c>
      <c r="Q23" s="4" t="str">
        <f t="shared" ref="Q23:Q47" si="0">R23&amp;S23</f>
        <v>41,1</v>
      </c>
      <c r="R23" s="14">
        <v>4</v>
      </c>
      <c r="S23" s="12" t="s">
        <v>92</v>
      </c>
      <c r="T23" s="143">
        <v>63.6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44">
        <v>58.7</v>
      </c>
      <c r="U24" s="15"/>
      <c r="W24" s="28" t="s">
        <v>94</v>
      </c>
      <c r="X24" s="8">
        <f>U20</f>
        <v>32.200000000000003</v>
      </c>
      <c r="Y24" s="8" t="s">
        <v>95</v>
      </c>
    </row>
    <row r="25" spans="1:37" hidden="1" x14ac:dyDescent="0.55000000000000004">
      <c r="A25" s="23"/>
      <c r="G25" s="5"/>
      <c r="H25" s="5"/>
      <c r="M25" s="6">
        <v>55</v>
      </c>
      <c r="Q25" s="4" t="str">
        <f t="shared" si="0"/>
        <v>41,1,1,1</v>
      </c>
      <c r="R25" s="14">
        <v>4</v>
      </c>
      <c r="S25" s="12" t="s">
        <v>96</v>
      </c>
      <c r="T25" s="143">
        <v>54.4</v>
      </c>
      <c r="U25" s="15"/>
      <c r="W25" s="137" t="s">
        <v>39</v>
      </c>
      <c r="X25" s="138" t="s">
        <v>6</v>
      </c>
      <c r="Y25" s="138" t="s">
        <v>4</v>
      </c>
    </row>
    <row r="26" spans="1:37" hidden="1" x14ac:dyDescent="0.55000000000000004">
      <c r="A26" s="3"/>
      <c r="G26" s="5"/>
      <c r="H26" s="5"/>
      <c r="M26" s="6">
        <v>60</v>
      </c>
      <c r="Q26" s="4" t="str">
        <f t="shared" si="0"/>
        <v>42,1,1,2</v>
      </c>
      <c r="R26" s="14">
        <v>4</v>
      </c>
      <c r="S26" s="12" t="s">
        <v>97</v>
      </c>
      <c r="T26" s="143">
        <v>52.5</v>
      </c>
      <c r="U26" s="15"/>
      <c r="W26" s="28" t="s">
        <v>98</v>
      </c>
      <c r="X26" s="8">
        <f>ROUND((B3/SQRT(2))*X16,2)</f>
        <v>16.8</v>
      </c>
      <c r="Y26" s="8" t="s">
        <v>8</v>
      </c>
    </row>
    <row r="27" spans="1:37" s="1" customFormat="1" ht="28.8" hidden="1" x14ac:dyDescent="0.55000000000000004">
      <c r="A27" s="3"/>
      <c r="B27" s="3"/>
      <c r="C27" s="3"/>
      <c r="D27" s="5"/>
      <c r="E27" s="5"/>
      <c r="F27"/>
      <c r="G27" s="5"/>
      <c r="H27" s="5"/>
      <c r="I27"/>
      <c r="J27"/>
      <c r="K27"/>
      <c r="L27"/>
      <c r="M27" s="6">
        <v>65</v>
      </c>
      <c r="N27"/>
      <c r="O27"/>
      <c r="P27"/>
      <c r="Q27" s="4" t="str">
        <f t="shared" si="0"/>
        <v>81,1</v>
      </c>
      <c r="R27" s="14">
        <v>8</v>
      </c>
      <c r="S27" s="12" t="s">
        <v>92</v>
      </c>
      <c r="T27" s="143">
        <v>52.6</v>
      </c>
      <c r="U27" s="15"/>
      <c r="V27"/>
      <c r="W27" s="28" t="s">
        <v>99</v>
      </c>
      <c r="X27" s="8">
        <f>ROUND(X26/1.41,2)</f>
        <v>11.91</v>
      </c>
      <c r="Y27" s="8" t="s">
        <v>8</v>
      </c>
      <c r="Z27"/>
      <c r="AA27"/>
      <c r="AH27" s="11"/>
      <c r="AI27" s="11"/>
      <c r="AJ27" s="11"/>
      <c r="AK27" s="11"/>
    </row>
    <row r="28" spans="1:37" hidden="1" x14ac:dyDescent="0.55000000000000004">
      <c r="A28" s="1"/>
      <c r="B28" s="1"/>
      <c r="C28" s="1"/>
      <c r="D28" s="6"/>
      <c r="E28" s="6"/>
      <c r="F28" s="1"/>
      <c r="G28" s="5"/>
      <c r="H28" s="5"/>
      <c r="M28" s="6">
        <v>70</v>
      </c>
      <c r="Q28" s="4" t="str">
        <f t="shared" si="0"/>
        <v>82,2</v>
      </c>
      <c r="R28" s="14">
        <v>8</v>
      </c>
      <c r="S28" s="12" t="s">
        <v>93</v>
      </c>
      <c r="T28" s="144">
        <v>46.5</v>
      </c>
      <c r="U28" s="15"/>
      <c r="W28" s="28"/>
      <c r="X28" s="8"/>
      <c r="Y28" s="8"/>
    </row>
    <row r="29" spans="1:37" hidden="1" x14ac:dyDescent="0.55000000000000004">
      <c r="A29" s="3"/>
      <c r="G29" s="5"/>
      <c r="H29" s="5"/>
      <c r="M29" s="6">
        <v>75</v>
      </c>
      <c r="Q29" s="4" t="str">
        <f t="shared" si="0"/>
        <v>81,1,1,1</v>
      </c>
      <c r="R29" s="14">
        <v>8</v>
      </c>
      <c r="S29" s="12" t="s">
        <v>96</v>
      </c>
      <c r="T29" s="143">
        <v>42.7</v>
      </c>
      <c r="U29" s="15"/>
      <c r="W29" s="28" t="s">
        <v>100</v>
      </c>
      <c r="X29" s="8">
        <f>B4*1.414</f>
        <v>3.5349999999999997</v>
      </c>
      <c r="Y29" s="8" t="s">
        <v>12</v>
      </c>
    </row>
    <row r="30" spans="1:37" hidden="1" x14ac:dyDescent="0.55000000000000004">
      <c r="A30" s="3"/>
      <c r="G30" s="5"/>
      <c r="H30" s="5"/>
      <c r="M30" s="6">
        <v>80</v>
      </c>
      <c r="Q30" s="4" t="str">
        <f t="shared" si="0"/>
        <v>82,1,1,2</v>
      </c>
      <c r="R30" s="14">
        <v>8</v>
      </c>
      <c r="S30" s="12" t="s">
        <v>97</v>
      </c>
      <c r="T30" s="143">
        <v>40.5</v>
      </c>
      <c r="U30" s="15"/>
      <c r="W30" s="28" t="s">
        <v>101</v>
      </c>
      <c r="X30" s="8">
        <f>B3/B7</f>
        <v>0.12</v>
      </c>
      <c r="Y30" s="8" t="s">
        <v>21</v>
      </c>
    </row>
    <row r="31" spans="1:37" ht="28.8" hidden="1" x14ac:dyDescent="0.55000000000000004">
      <c r="A31" s="3"/>
      <c r="G31" s="5"/>
      <c r="H31" s="5"/>
      <c r="M31" s="6">
        <v>85</v>
      </c>
      <c r="Q31" s="4" t="str">
        <f t="shared" si="0"/>
        <v>161,1</v>
      </c>
      <c r="R31" s="14">
        <v>16</v>
      </c>
      <c r="S31" s="12" t="s">
        <v>92</v>
      </c>
      <c r="T31" s="143">
        <v>45.7</v>
      </c>
      <c r="U31" s="15"/>
      <c r="W31" s="25" t="s">
        <v>147</v>
      </c>
      <c r="X31" s="3">
        <f>VLOOKUP(B7,K16:L19,2,FALSE)</f>
        <v>0.5</v>
      </c>
      <c r="Y31" s="3" t="s">
        <v>21</v>
      </c>
    </row>
    <row r="32" spans="1:37" hidden="1" x14ac:dyDescent="0.55000000000000004">
      <c r="A32" s="3"/>
      <c r="G32" s="5"/>
      <c r="H32" s="5"/>
      <c r="M32" s="6">
        <v>90</v>
      </c>
      <c r="Q32" s="4" t="str">
        <f t="shared" si="0"/>
        <v>162,2</v>
      </c>
      <c r="R32" s="14">
        <v>16</v>
      </c>
      <c r="S32" s="12" t="s">
        <v>93</v>
      </c>
      <c r="T32" s="144">
        <v>38.4</v>
      </c>
      <c r="U32" s="16"/>
      <c r="W32" s="135" t="s">
        <v>103</v>
      </c>
      <c r="X32" s="136" t="s">
        <v>6</v>
      </c>
      <c r="Y32" s="136" t="s">
        <v>4</v>
      </c>
    </row>
    <row r="33" spans="1:33" s="10" customFormat="1" hidden="1" x14ac:dyDescent="0.55000000000000004">
      <c r="A33" s="3"/>
      <c r="B33" s="3"/>
      <c r="C33" s="3"/>
      <c r="D33" s="5"/>
      <c r="E33" s="5"/>
      <c r="F33"/>
      <c r="G33" s="5"/>
      <c r="H33" s="5"/>
      <c r="I33"/>
      <c r="J33"/>
      <c r="K33"/>
      <c r="L33"/>
      <c r="M33" s="6">
        <v>95</v>
      </c>
      <c r="N33"/>
      <c r="O33"/>
      <c r="P33"/>
      <c r="Q33" s="4" t="str">
        <f t="shared" si="0"/>
        <v>161,1,1,1</v>
      </c>
      <c r="R33" s="14">
        <v>16</v>
      </c>
      <c r="S33" s="12" t="s">
        <v>96</v>
      </c>
      <c r="T33" s="143">
        <v>34.6</v>
      </c>
      <c r="U33" s="15"/>
      <c r="V33"/>
      <c r="W33" s="28" t="s">
        <v>104</v>
      </c>
      <c r="X33" s="140">
        <f>B3*X18/1000</f>
        <v>0.36</v>
      </c>
      <c r="Y33" s="8" t="s">
        <v>10</v>
      </c>
      <c r="Z33"/>
      <c r="AA33"/>
      <c r="AB33"/>
      <c r="AC33"/>
      <c r="AD33"/>
      <c r="AE33"/>
      <c r="AF33"/>
      <c r="AG33"/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/>
      <c r="N34"/>
      <c r="O34"/>
      <c r="P34"/>
      <c r="Q34" s="4" t="str">
        <f t="shared" si="0"/>
        <v>162,1,1,2</v>
      </c>
      <c r="R34" s="14">
        <v>16</v>
      </c>
      <c r="S34" s="12" t="s">
        <v>97</v>
      </c>
      <c r="T34" s="143">
        <v>32.200000000000003</v>
      </c>
      <c r="U34" s="15"/>
      <c r="V34"/>
      <c r="W34" s="28"/>
      <c r="X34" s="8"/>
      <c r="Y34" s="8"/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/>
      <c r="N35"/>
      <c r="O35"/>
      <c r="P35"/>
      <c r="Q35" s="4" t="str">
        <f t="shared" si="0"/>
        <v>321,1</v>
      </c>
      <c r="R35" s="14">
        <v>32</v>
      </c>
      <c r="S35" s="12" t="s">
        <v>92</v>
      </c>
      <c r="T35" s="143">
        <v>41.8</v>
      </c>
      <c r="U35" s="15"/>
      <c r="V35"/>
      <c r="W35" s="135" t="s">
        <v>148</v>
      </c>
      <c r="X35" s="136" t="s">
        <v>6</v>
      </c>
      <c r="Y35" s="136" t="s">
        <v>4</v>
      </c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/>
      <c r="N36"/>
      <c r="O36"/>
      <c r="P36"/>
      <c r="Q36" s="4" t="str">
        <f t="shared" si="0"/>
        <v>322,2</v>
      </c>
      <c r="R36" s="14">
        <v>32</v>
      </c>
      <c r="S36" s="12" t="s">
        <v>93</v>
      </c>
      <c r="T36" s="144">
        <v>33.4</v>
      </c>
      <c r="U36" s="15"/>
      <c r="V36"/>
      <c r="W36" s="28" t="s">
        <v>106</v>
      </c>
      <c r="X36" s="8">
        <f>ROUND(3*B4*B4*AH16/(1000),3)</f>
        <v>1.109</v>
      </c>
      <c r="Y36" s="8" t="s">
        <v>10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/>
      <c r="N37"/>
      <c r="O37"/>
      <c r="P37"/>
      <c r="Q37" s="4" t="str">
        <f t="shared" si="0"/>
        <v>321,1,1,1</v>
      </c>
      <c r="R37" s="14">
        <v>32</v>
      </c>
      <c r="S37" s="12" t="s">
        <v>96</v>
      </c>
      <c r="T37" s="143">
        <v>29.6</v>
      </c>
      <c r="U37" s="15"/>
      <c r="V37"/>
      <c r="W37" s="28" t="s">
        <v>108</v>
      </c>
      <c r="X37" s="140">
        <f>ROUND(3*B3*B4*X30*B6/(1000),3)*IF(B5="Discontinuous",2/3,1)</f>
        <v>0.28799999999999998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/>
      <c r="O38"/>
      <c r="P38"/>
      <c r="Q38" s="4" t="str">
        <f t="shared" si="0"/>
        <v>322,1,1,2</v>
      </c>
      <c r="R38" s="14">
        <v>32</v>
      </c>
      <c r="S38" s="12" t="s">
        <v>97</v>
      </c>
      <c r="T38" s="143">
        <v>26.9</v>
      </c>
      <c r="U38" s="15"/>
      <c r="V38"/>
      <c r="W38" s="28" t="s">
        <v>110</v>
      </c>
      <c r="X38" s="140">
        <f>X22*5*B6*0.000000001*1000</f>
        <v>1.2500000000000003E-4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/>
      <c r="P39"/>
      <c r="Q39" s="4" t="str">
        <f t="shared" si="0"/>
        <v>641,1</v>
      </c>
      <c r="R39" s="14">
        <v>64</v>
      </c>
      <c r="S39" s="12" t="s">
        <v>92</v>
      </c>
      <c r="T39" s="143">
        <v>39.9</v>
      </c>
      <c r="U39" s="15"/>
      <c r="V39"/>
      <c r="W39" s="28" t="s">
        <v>149</v>
      </c>
      <c r="X39" s="8">
        <f>X36+X37+X38</f>
        <v>1.397125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/>
      <c r="P40"/>
      <c r="Q40" s="4" t="str">
        <f t="shared" si="0"/>
        <v>642,2</v>
      </c>
      <c r="R40" s="14">
        <v>64</v>
      </c>
      <c r="S40" s="12" t="s">
        <v>93</v>
      </c>
      <c r="T40" s="144">
        <v>30.8</v>
      </c>
      <c r="U40" s="15"/>
      <c r="V40"/>
      <c r="W40" s="11" t="s">
        <v>113</v>
      </c>
      <c r="X40" s="139">
        <f>3*2*B4*X31*B6*0.7/1000</f>
        <v>0.105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/>
      <c r="P41"/>
      <c r="Q41" s="4" t="str">
        <f t="shared" si="0"/>
        <v>641,1,1,1</v>
      </c>
      <c r="R41" s="14">
        <v>64</v>
      </c>
      <c r="S41" s="12" t="s">
        <v>96</v>
      </c>
      <c r="T41" s="143">
        <v>26.6</v>
      </c>
      <c r="U41" s="15"/>
      <c r="V41"/>
      <c r="W41" s="28" t="s">
        <v>115</v>
      </c>
      <c r="X41" s="139">
        <f>(B3-3.3)*B8*0.001</f>
        <v>0.10350000000000001</v>
      </c>
      <c r="Y41" s="8" t="s">
        <v>10</v>
      </c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/>
      <c r="O42"/>
      <c r="P42"/>
      <c r="Q42" s="4" t="str">
        <f t="shared" si="0"/>
        <v>642,1,1,2</v>
      </c>
      <c r="R42" s="36">
        <v>64</v>
      </c>
      <c r="S42" s="37" t="s">
        <v>97</v>
      </c>
      <c r="T42" s="145">
        <v>23.7</v>
      </c>
      <c r="U42" s="38"/>
      <c r="V42"/>
      <c r="W42" s="11" t="s">
        <v>117</v>
      </c>
      <c r="X42" s="139">
        <v>6.25E-2</v>
      </c>
      <c r="Y42" s="5" t="s">
        <v>10</v>
      </c>
      <c r="Z42" s="8" t="s">
        <v>118</v>
      </c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/>
      <c r="P43"/>
      <c r="Q43" s="40" t="str">
        <f t="shared" si="0"/>
        <v>43,1,1,3</v>
      </c>
      <c r="R43" s="39">
        <v>4</v>
      </c>
      <c r="S43" s="12" t="s">
        <v>119</v>
      </c>
      <c r="T43" s="143">
        <v>51.4</v>
      </c>
      <c r="U43" s="41"/>
      <c r="V43"/>
      <c r="W43" s="28" t="s">
        <v>150</v>
      </c>
      <c r="X43" s="8">
        <f>ROUND((3*X27*B4)-E3,2)</f>
        <v>87.3</v>
      </c>
      <c r="Y43" s="8" t="s">
        <v>10</v>
      </c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24"/>
      <c r="B44" s="24"/>
      <c r="C44" s="24"/>
      <c r="D44" s="5"/>
      <c r="E44" s="5"/>
      <c r="F44" s="5"/>
      <c r="G44"/>
      <c r="H44"/>
      <c r="I44"/>
      <c r="J44"/>
      <c r="K44"/>
      <c r="L44"/>
      <c r="M44"/>
      <c r="N44"/>
      <c r="O44"/>
      <c r="P44"/>
      <c r="Q44" s="40" t="str">
        <f t="shared" si="0"/>
        <v>83,1,1,3</v>
      </c>
      <c r="R44" s="39">
        <v>8</v>
      </c>
      <c r="S44" s="12" t="s">
        <v>119</v>
      </c>
      <c r="T44" s="143">
        <v>39.200000000000003</v>
      </c>
      <c r="U44" s="41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5"/>
      <c r="B45" s="3"/>
      <c r="C45" s="3"/>
      <c r="D45" s="5"/>
      <c r="E45" s="3"/>
      <c r="F45" s="3"/>
      <c r="G45" s="5"/>
      <c r="H45"/>
      <c r="I45"/>
      <c r="J45"/>
      <c r="K45"/>
      <c r="L45"/>
      <c r="M45"/>
      <c r="N45"/>
      <c r="O45"/>
      <c r="P45"/>
      <c r="Q45" s="40" t="str">
        <f t="shared" si="0"/>
        <v>163,1,1,3</v>
      </c>
      <c r="R45" s="39">
        <v>16</v>
      </c>
      <c r="S45" s="12" t="s">
        <v>119</v>
      </c>
      <c r="T45" s="143">
        <v>30.8</v>
      </c>
      <c r="U45" s="41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 s="5"/>
      <c r="G46"/>
      <c r="H46"/>
      <c r="I46"/>
      <c r="J46"/>
      <c r="K46"/>
      <c r="L46"/>
      <c r="M46"/>
      <c r="N46"/>
      <c r="O46"/>
      <c r="P46"/>
      <c r="Q46" s="40" t="str">
        <f t="shared" si="0"/>
        <v>323,1,1,3</v>
      </c>
      <c r="R46" s="39">
        <v>32</v>
      </c>
      <c r="S46" s="12" t="s">
        <v>119</v>
      </c>
      <c r="T46" s="143">
        <v>25.4</v>
      </c>
      <c r="U46" s="41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t="14.7" hidden="1" thickBot="1" x14ac:dyDescent="0.6">
      <c r="A47" s="23"/>
      <c r="B47" s="3"/>
      <c r="C47" s="3"/>
      <c r="D47" s="5"/>
      <c r="E47" s="5"/>
      <c r="F47"/>
      <c r="G47"/>
      <c r="H47"/>
      <c r="I47"/>
      <c r="J47"/>
      <c r="K47"/>
      <c r="L47"/>
      <c r="M47"/>
      <c r="N47"/>
      <c r="O47"/>
      <c r="P47"/>
      <c r="Q47" s="40" t="str">
        <f t="shared" si="0"/>
        <v>643,1,1,3</v>
      </c>
      <c r="R47" s="132">
        <v>64</v>
      </c>
      <c r="S47" s="133" t="s">
        <v>119</v>
      </c>
      <c r="T47" s="146">
        <v>22</v>
      </c>
      <c r="U47" s="42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" customFormat="1" hidden="1" x14ac:dyDescent="0.55000000000000004">
      <c r="A48" s="24"/>
      <c r="B48" s="24"/>
      <c r="C48" s="24"/>
      <c r="D48" s="5"/>
      <c r="E48" s="5"/>
      <c r="F48"/>
    </row>
    <row r="49" spans="1:33" s="4" customFormat="1" hidden="1" x14ac:dyDescent="0.55000000000000004">
      <c r="A49" s="25"/>
      <c r="D49" s="7"/>
      <c r="E49" s="7"/>
    </row>
    <row r="50" spans="1:33" s="10" customFormat="1" hidden="1" x14ac:dyDescent="0.55000000000000004">
      <c r="A50" s="24"/>
      <c r="B50" s="24"/>
      <c r="C50" s="24"/>
      <c r="D50" s="7"/>
      <c r="E50" s="7"/>
      <c r="F50" s="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24"/>
      <c r="B51" s="3"/>
      <c r="C51" s="3"/>
      <c r="D51" s="5"/>
      <c r="E51" s="5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t="43.5" hidden="1" customHeight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4:37" s="3" customFormat="1" hidden="1" x14ac:dyDescent="0.55000000000000004">
      <c r="D65" s="5"/>
      <c r="E65" s="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 s="10"/>
      <c r="AI65" s="10"/>
      <c r="AJ65" s="10"/>
      <c r="AK65" s="10"/>
    </row>
    <row r="66" spans="4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4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4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4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4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4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4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4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4:37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4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4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4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4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4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4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3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5"/>
    </row>
    <row r="86" spans="1:33" s="10" customFormat="1" hidden="1" x14ac:dyDescent="0.55000000000000004">
      <c r="A86" s="2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3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</sheetData>
  <sheetProtection algorithmName="SHA-512" hashValue="WoqrbYG1kGQj40giDe2h8MpBC2QLHNlUyuzkIPXuXOq4D7JLSsS6g2l5w48cqNLpfdn9Z16b6cUovtgwx1whAg==" saltValue="8uz6eVYG74f0yLlJK0j6Jg==" spinCount="100000" sheet="1" objects="1" scenarios="1"/>
  <mergeCells count="8">
    <mergeCell ref="AG15:AH15"/>
    <mergeCell ref="R18:T18"/>
    <mergeCell ref="R21:U21"/>
    <mergeCell ref="B1:F1"/>
    <mergeCell ref="A14:C14"/>
    <mergeCell ref="R15:U15"/>
    <mergeCell ref="AC15:AD15"/>
    <mergeCell ref="AE15:AF15"/>
  </mergeCells>
  <conditionalFormatting sqref="E4">
    <cfRule type="cellIs" dxfId="21" priority="1" operator="lessThan">
      <formula>125</formula>
    </cfRule>
    <cfRule type="cellIs" dxfId="20" priority="2" operator="greaterThan">
      <formula>125</formula>
    </cfRule>
  </conditionalFormatting>
  <dataValidations count="14">
    <dataValidation type="decimal" allowBlank="1" showInputMessage="1" showErrorMessage="1" error="AVDD output current out of range" prompt="Enter the AVDD output load current between 0 to 20 mA" sqref="B8" xr:uid="{9AE18D27-CE4B-4CA7-88FB-4E5066806DFC}">
      <formula1>0</formula1>
      <formula2>20</formula2>
    </dataValidation>
    <dataValidation type="list" allowBlank="1" showInputMessage="1" showErrorMessage="1" prompt="Select copper thickness of top/bottom layers (oz)" sqref="B13" xr:uid="{F0E45467-7503-45A3-BDC2-6916625C9C55}">
      <formula1>$J$16:$J$20</formula1>
    </dataValidation>
    <dataValidation type="list" allowBlank="1" showInputMessage="1" showErrorMessage="1" prompt="Select copper thickness of top/bottom layers (oz)" sqref="B12" xr:uid="{91A901D5-4096-4416-B485-E24CA0ABC0DF}">
      <formula1>$H$16:$H$18</formula1>
    </dataValidation>
    <dataValidation type="list" allowBlank="1" showInputMessage="1" showErrorMessage="1" prompt="Select PWM modulation type" sqref="B5" xr:uid="{98A7CCAC-657F-4396-A473-3FB1CA65911C}">
      <formula1>$N$16:$N$17</formula1>
    </dataValidation>
    <dataValidation type="list" allowBlank="1" showInputMessage="1" showErrorMessage="1" error="This PWM frequency is outside of the operating range of the DRV8316" prompt="Select a PWM frequency between 10kHz and 95kHz" sqref="B6" xr:uid="{D774B536-F8F1-4B6A-827D-23CBC383A342}">
      <formula1>$M$16:$M$33</formula1>
    </dataValidation>
    <dataValidation type="list" allowBlank="1" showInputMessage="1" showErrorMessage="1" prompt="Select # of PCB Layers" sqref="B11" xr:uid="{8EBAA42D-7EF9-4EE0-96C9-E58D439883B1}">
      <formula1>$G$16:$G$17</formula1>
    </dataValidation>
    <dataValidation type="list" allowBlank="1" showInputMessage="1" showErrorMessage="1" prompt="Select PCB area (cm2)" sqref="B13" xr:uid="{1E2B6826-77BB-459E-9198-69831D3FD0EF}">
      <formula1>$J$16:$J$20</formula1>
    </dataValidation>
    <dataValidation type="list" allowBlank="1" showInputMessage="1" showErrorMessage="1" prompt="Select an output slew rate setting (V/us)" sqref="B7" xr:uid="{B98FF41D-28F2-4B7D-944E-CE78D25A33F1}">
      <formula1>$K$16:$K$19</formula1>
    </dataValidation>
    <dataValidation type="decimal" allowBlank="1" showInputMessage="1" showErrorMessage="1" error="This current is outside the operating range of the DRV8316" prompt="Enter an RMS current between 0 and 5.657 amps" sqref="B4" xr:uid="{49A5085B-B70C-4A92-9841-54CCD30E47AB}">
      <formula1>0</formula1>
      <formula2>5.657</formula2>
    </dataValidation>
    <dataValidation type="list" allowBlank="1" showInputMessage="1" showErrorMessage="1" prompt="Select copper thickness of top/bottom layers (oz)" sqref="X23 AF15 AB9" xr:uid="{0B8874E7-5AE7-4D6B-AE35-56EE3757DD7A}">
      <formula1>$H$16:$H$17</formula1>
    </dataValidation>
    <dataValidation type="list" allowBlank="1" showInputMessage="1" showErrorMessage="1" prompt="Select copper thickness of internal layers if more than 2 layer PCB (oz)" sqref="X23" xr:uid="{87631A4E-F3FE-4F9C-8C16-427042490EB3}">
      <formula1>$I$16:$I$17</formula1>
    </dataValidation>
    <dataValidation type="decimal" allowBlank="1" showInputMessage="1" showErrorMessage="1" error="This voltage is outside the operating range of the DRV8316" prompt="Enter a motor supply voltage between 4.5 to 35 volts" sqref="B3" xr:uid="{FF658838-E62F-48B8-B984-E44058AFBF2C}">
      <formula1>4.5</formula1>
      <formula2>35</formula2>
    </dataValidation>
    <dataValidation allowBlank="1" showInputMessage="1" showErrorMessage="1" prompt="Enter the operating ambient temperature" sqref="X21" xr:uid="{8A602FEA-4E05-4DE4-A914-1464BA98BF1C}"/>
    <dataValidation type="decimal" allowBlank="1" showInputMessage="1" showErrorMessage="1" error="This ambient temperature is outside the operating range of the DRV8316" prompt="Enter the ambient temperature for normal operation from -40C to 125C" sqref="B9" xr:uid="{83DFB5F0-937E-42BF-A4ED-E876464F33EA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E906-E2A2-44B4-9D42-2BA3C1DF8079}">
  <dimension ref="A1:EU94"/>
  <sheetViews>
    <sheetView zoomScale="85" zoomScaleNormal="85" workbookViewId="0">
      <selection activeCell="A27" sqref="A27:XFD1048576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/>
    <col min="8" max="8" width="28.5234375" hidden="1"/>
    <col min="9" max="9" width="12.5234375" hidden="1"/>
    <col min="10" max="10" width="31" hidden="1"/>
    <col min="11" max="11" width="25.5234375" hidden="1"/>
    <col min="12" max="12" width="11.47265625" hidden="1"/>
    <col min="13" max="13" width="12.5234375" hidden="1"/>
    <col min="14" max="14" width="30.47265625" hidden="1"/>
    <col min="15" max="15" width="26.47265625" hidden="1"/>
    <col min="16" max="17" width="11" hidden="1"/>
    <col min="18" max="18" width="10.5234375" hidden="1"/>
    <col min="19" max="19" width="11.47265625" hidden="1"/>
    <col min="20" max="20" width="13.47265625" hidden="1"/>
    <col min="21" max="21" width="13.5234375" hidden="1"/>
    <col min="22" max="22" width="21.47265625" hidden="1"/>
    <col min="23" max="23" width="14.47265625" hidden="1"/>
    <col min="24" max="24" width="30.47265625" hidden="1"/>
    <col min="25" max="25" width="14.47265625" hidden="1"/>
    <col min="26" max="26" width="24.5234375" hidden="1"/>
    <col min="27" max="27" width="28.7890625" hidden="1"/>
    <col min="28" max="28" width="44.7890625" hidden="1"/>
    <col min="29" max="29" width="30.47265625" hidden="1"/>
    <col min="30" max="30" width="13.5234375" hidden="1"/>
    <col min="31" max="31" width="7.5234375" hidden="1"/>
    <col min="32" max="32" width="45.7890625" hidden="1"/>
    <col min="33" max="33" width="34.5234375" hidden="1"/>
    <col min="34" max="34" width="14" style="10" hidden="1"/>
    <col min="35" max="35" width="16.47265625" style="10" hidden="1"/>
    <col min="36" max="36" width="13.5234375" style="10" hidden="1"/>
    <col min="37" max="37" width="16.47265625" style="10" hidden="1"/>
    <col min="38" max="38" width="13.5234375" hidden="1"/>
    <col min="39" max="39" width="16.47265625" hidden="1"/>
    <col min="40" max="40" width="13.5234375" hidden="1"/>
    <col min="41" max="121" width="8.83984375" hidden="1"/>
    <col min="122" max="149" width="8.5234375" hidden="1"/>
    <col min="152" max="16384" width="8.83984375" hidden="1"/>
  </cols>
  <sheetData>
    <row r="1" spans="1:37" ht="15" customHeight="1" thickBot="1" x14ac:dyDescent="0.6">
      <c r="A1" s="142" t="s">
        <v>161</v>
      </c>
      <c r="B1" s="185" t="s">
        <v>162</v>
      </c>
      <c r="C1" s="185"/>
      <c r="D1" s="185"/>
      <c r="E1" s="185"/>
      <c r="F1" s="185"/>
    </row>
    <row r="2" spans="1:37" ht="15" customHeight="1" thickBot="1" x14ac:dyDescent="0.6">
      <c r="A2" s="83" t="s">
        <v>2</v>
      </c>
      <c r="B2" s="74" t="s">
        <v>163</v>
      </c>
      <c r="C2" s="80" t="s">
        <v>4</v>
      </c>
      <c r="D2" s="84" t="s">
        <v>5</v>
      </c>
      <c r="E2" s="85" t="s">
        <v>6</v>
      </c>
      <c r="F2" s="85" t="s">
        <v>4</v>
      </c>
    </row>
    <row r="3" spans="1:37" ht="15" customHeight="1" thickBot="1" x14ac:dyDescent="0.6">
      <c r="A3" s="86" t="s">
        <v>7</v>
      </c>
      <c r="B3" s="70">
        <v>12</v>
      </c>
      <c r="C3" s="77" t="s">
        <v>8</v>
      </c>
      <c r="D3" s="87" t="s">
        <v>9</v>
      </c>
      <c r="E3" s="97">
        <f>ROUND(IF(Y28=-1,"n/a",$AL$26),2)</f>
        <v>0.79</v>
      </c>
      <c r="F3" s="77" t="s">
        <v>10</v>
      </c>
    </row>
    <row r="4" spans="1:37" ht="15" customHeight="1" thickBot="1" x14ac:dyDescent="0.6">
      <c r="A4" s="88" t="s">
        <v>11</v>
      </c>
      <c r="B4" s="71">
        <v>1</v>
      </c>
      <c r="C4" s="78" t="s">
        <v>12</v>
      </c>
      <c r="D4" s="87" t="s">
        <v>13</v>
      </c>
      <c r="E4" s="98">
        <f>ROUND(IF(Y28=-1,"n/a",$AL$27),2)</f>
        <v>66.39</v>
      </c>
      <c r="F4" s="79" t="s">
        <v>14</v>
      </c>
    </row>
    <row r="5" spans="1:37" ht="15" customHeight="1" x14ac:dyDescent="0.55000000000000004">
      <c r="A5" s="91" t="s">
        <v>18</v>
      </c>
      <c r="B5" s="70" t="s">
        <v>61</v>
      </c>
      <c r="C5" s="78" t="s">
        <v>17</v>
      </c>
      <c r="D5" s="90"/>
      <c r="E5" s="90"/>
      <c r="F5" s="90"/>
    </row>
    <row r="6" spans="1:37" ht="15" customHeight="1" x14ac:dyDescent="0.55000000000000004">
      <c r="A6" s="91" t="s">
        <v>20</v>
      </c>
      <c r="B6" s="70">
        <v>300</v>
      </c>
      <c r="C6" s="78" t="s">
        <v>21</v>
      </c>
      <c r="D6" s="1"/>
      <c r="E6" s="1"/>
      <c r="F6" s="1"/>
    </row>
    <row r="7" spans="1:37" ht="15" customHeight="1" x14ac:dyDescent="0.55000000000000004">
      <c r="A7" s="88" t="str">
        <f>IF(B6=0,"Motor Phase Inductance [Ls]","-")</f>
        <v>-</v>
      </c>
      <c r="B7" s="70"/>
      <c r="C7" s="78" t="str">
        <f>IF(B6=0,"mH","-")</f>
        <v>-</v>
      </c>
      <c r="D7" s="1"/>
      <c r="E7" s="1"/>
      <c r="F7" s="1"/>
    </row>
    <row r="8" spans="1:37" ht="15" customHeight="1" x14ac:dyDescent="0.55000000000000004">
      <c r="A8" s="88" t="str">
        <f>IF(B6=0,"Motor Phase BEMF constant [Ke_ph(pk)]","-")</f>
        <v>-</v>
      </c>
      <c r="B8" s="70"/>
      <c r="C8" s="78" t="str">
        <f>IF(B6=0,"V/Hz","-")</f>
        <v>-</v>
      </c>
      <c r="D8" s="1"/>
      <c r="E8" s="1"/>
      <c r="F8" s="1"/>
    </row>
    <row r="9" spans="1:37" ht="15" customHeight="1" x14ac:dyDescent="0.55000000000000004">
      <c r="A9" s="88" t="s">
        <v>22</v>
      </c>
      <c r="B9" s="70">
        <v>100</v>
      </c>
      <c r="C9" s="77" t="s">
        <v>23</v>
      </c>
      <c r="D9" s="1"/>
      <c r="E9" s="1"/>
      <c r="F9" s="1"/>
    </row>
    <row r="10" spans="1:37" ht="15" customHeight="1" x14ac:dyDescent="0.55000000000000004">
      <c r="A10" s="86" t="s">
        <v>24</v>
      </c>
      <c r="B10" s="70">
        <v>20</v>
      </c>
      <c r="C10" s="78" t="s">
        <v>25</v>
      </c>
      <c r="D10" s="1"/>
      <c r="E10" s="1"/>
      <c r="F10" s="1"/>
    </row>
    <row r="11" spans="1:37" ht="15" customHeight="1" x14ac:dyDescent="0.55000000000000004">
      <c r="A11" s="92" t="s">
        <v>26</v>
      </c>
      <c r="B11" s="71">
        <v>230</v>
      </c>
      <c r="C11" s="78" t="s">
        <v>27</v>
      </c>
      <c r="D11" s="6"/>
      <c r="E11" s="6"/>
      <c r="F11" s="1"/>
    </row>
    <row r="12" spans="1:37" ht="15" customHeight="1" x14ac:dyDescent="0.55000000000000004">
      <c r="A12" s="86" t="s">
        <v>164</v>
      </c>
      <c r="B12" s="71">
        <v>200</v>
      </c>
      <c r="C12" s="78" t="s">
        <v>165</v>
      </c>
      <c r="D12" s="6"/>
      <c r="E12" s="6"/>
      <c r="F12" s="1"/>
    </row>
    <row r="13" spans="1:37" ht="15" customHeight="1" x14ac:dyDescent="0.55000000000000004">
      <c r="A13" s="93" t="s">
        <v>28</v>
      </c>
      <c r="B13" s="72">
        <v>20</v>
      </c>
      <c r="C13" s="78" t="s">
        <v>29</v>
      </c>
      <c r="D13" s="6"/>
      <c r="E13" s="6"/>
      <c r="F13" s="1"/>
      <c r="AH13"/>
      <c r="AI13"/>
      <c r="AJ13"/>
      <c r="AK13"/>
    </row>
    <row r="14" spans="1:37" ht="15" customHeight="1" thickBot="1" x14ac:dyDescent="0.6">
      <c r="A14" s="94" t="s">
        <v>30</v>
      </c>
      <c r="B14" s="73">
        <v>25</v>
      </c>
      <c r="C14" s="79" t="s">
        <v>14</v>
      </c>
      <c r="D14" s="6"/>
      <c r="E14" s="6"/>
      <c r="F14" s="1"/>
      <c r="AH14"/>
      <c r="AI14"/>
      <c r="AJ14"/>
      <c r="AK14"/>
    </row>
    <row r="15" spans="1:37" ht="15" customHeight="1" thickBot="1" x14ac:dyDescent="0.6">
      <c r="A15" s="95" t="s">
        <v>31</v>
      </c>
      <c r="B15" s="74"/>
      <c r="C15" s="80"/>
      <c r="D15" s="6"/>
      <c r="E15" s="6"/>
      <c r="F15" s="1"/>
      <c r="AH15"/>
      <c r="AI15"/>
      <c r="AJ15"/>
      <c r="AK15"/>
    </row>
    <row r="16" spans="1:37" ht="15" customHeight="1" x14ac:dyDescent="0.55000000000000004">
      <c r="A16" s="96" t="s">
        <v>32</v>
      </c>
      <c r="B16" s="75">
        <v>4</v>
      </c>
      <c r="C16" s="77" t="s">
        <v>33</v>
      </c>
      <c r="D16" s="6"/>
      <c r="E16" s="6"/>
      <c r="F16" s="1"/>
      <c r="AH16"/>
      <c r="AI16"/>
      <c r="AJ16"/>
      <c r="AK16"/>
    </row>
    <row r="17" spans="1:151" ht="29.2" customHeight="1" x14ac:dyDescent="0.55000000000000004">
      <c r="A17" s="92" t="s">
        <v>34</v>
      </c>
      <c r="B17" s="71">
        <v>2</v>
      </c>
      <c r="C17" s="81" t="s">
        <v>35</v>
      </c>
      <c r="D17" s="6"/>
      <c r="E17" s="6"/>
      <c r="F17" s="1"/>
      <c r="AH17"/>
      <c r="AI17"/>
      <c r="AJ17"/>
      <c r="AK17"/>
    </row>
    <row r="18" spans="1:151" ht="28.45" customHeight="1" thickBot="1" x14ac:dyDescent="0.6">
      <c r="A18" s="94" t="s">
        <v>36</v>
      </c>
      <c r="B18" s="76">
        <v>16</v>
      </c>
      <c r="C18" s="82" t="s">
        <v>37</v>
      </c>
      <c r="D18" s="6"/>
      <c r="E18" s="6"/>
      <c r="F18" s="1"/>
      <c r="AH18"/>
      <c r="AI18"/>
      <c r="AJ18"/>
      <c r="AK18"/>
    </row>
    <row r="19" spans="1:151" ht="28.45" customHeight="1" thickBot="1" x14ac:dyDescent="0.6">
      <c r="A19" s="194" t="s">
        <v>166</v>
      </c>
      <c r="B19" s="195"/>
      <c r="C19" s="196"/>
      <c r="D19" s="6"/>
      <c r="E19" s="6"/>
      <c r="F19" s="1"/>
      <c r="G19" s="1"/>
      <c r="AH19"/>
      <c r="AI19"/>
      <c r="AJ19"/>
      <c r="AK19"/>
      <c r="AO19" s="10"/>
    </row>
    <row r="20" spans="1:151" s="1" customFormat="1" ht="32.200000000000003" customHeight="1" x14ac:dyDescent="0.5500000000000000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51" t="s">
        <v>39</v>
      </c>
      <c r="AB20" s="51" t="s">
        <v>6</v>
      </c>
      <c r="AC20" s="51" t="s">
        <v>4</v>
      </c>
      <c r="AD20"/>
      <c r="AE20"/>
      <c r="AF20"/>
      <c r="AG20"/>
      <c r="AH20"/>
      <c r="AI20"/>
      <c r="AJ20"/>
      <c r="AK20"/>
      <c r="AL20"/>
      <c r="AM20"/>
      <c r="AN20"/>
      <c r="AO20" s="11"/>
      <c r="EU20"/>
    </row>
    <row r="21" spans="1:151" ht="22.5" customHeight="1" x14ac:dyDescent="0.55000000000000004">
      <c r="AA21" s="25" t="s">
        <v>48</v>
      </c>
      <c r="AB21" s="3">
        <v>1.4829000000000001</v>
      </c>
      <c r="AC21" s="3" t="s">
        <v>12</v>
      </c>
      <c r="AH21"/>
      <c r="AI21"/>
      <c r="AJ21"/>
      <c r="AK21"/>
    </row>
    <row r="22" spans="1:151" ht="14.7" thickBot="1" x14ac:dyDescent="0.6">
      <c r="AA22" s="25" t="s">
        <v>57</v>
      </c>
      <c r="AB22" s="3">
        <v>0.99</v>
      </c>
      <c r="AC22" s="3"/>
      <c r="AH22"/>
      <c r="AI22"/>
      <c r="AJ22"/>
      <c r="AK22"/>
      <c r="AL22" s="10"/>
      <c r="AM22" s="10"/>
    </row>
    <row r="23" spans="1:151" ht="29.1" thickBot="1" x14ac:dyDescent="0.6">
      <c r="K23" s="6" t="s">
        <v>32</v>
      </c>
      <c r="L23" s="6" t="s">
        <v>40</v>
      </c>
      <c r="M23" s="6" t="s">
        <v>41</v>
      </c>
      <c r="N23" s="6" t="s">
        <v>36</v>
      </c>
      <c r="O23" s="6" t="s">
        <v>42</v>
      </c>
      <c r="P23" s="8" t="s">
        <v>167</v>
      </c>
      <c r="Q23" s="8" t="s">
        <v>168</v>
      </c>
      <c r="R23" s="6" t="s">
        <v>44</v>
      </c>
      <c r="S23" s="8" t="s">
        <v>46</v>
      </c>
      <c r="T23" s="8"/>
      <c r="V23" s="62" t="s">
        <v>47</v>
      </c>
      <c r="W23" s="63"/>
      <c r="X23" s="63"/>
      <c r="Y23" s="64"/>
      <c r="AA23" s="25" t="s">
        <v>169</v>
      </c>
      <c r="AB23" s="3">
        <v>11</v>
      </c>
      <c r="AC23" s="3" t="s">
        <v>29</v>
      </c>
      <c r="AD23" t="s">
        <v>170</v>
      </c>
      <c r="AG23" s="65" t="s">
        <v>49</v>
      </c>
      <c r="AH23" s="66"/>
      <c r="AI23" s="65" t="s">
        <v>50</v>
      </c>
      <c r="AJ23" s="66"/>
      <c r="AK23" s="65" t="s">
        <v>51</v>
      </c>
      <c r="AL23" s="66"/>
      <c r="AM23" s="10"/>
    </row>
    <row r="24" spans="1:151" ht="14.7" thickBot="1" x14ac:dyDescent="0.6">
      <c r="K24" s="6">
        <v>2</v>
      </c>
      <c r="L24" s="6">
        <v>1</v>
      </c>
      <c r="M24" s="6">
        <v>1</v>
      </c>
      <c r="N24" s="26">
        <v>4</v>
      </c>
      <c r="O24" s="6">
        <v>35</v>
      </c>
      <c r="P24" s="6">
        <v>0.5</v>
      </c>
      <c r="Q24" s="6">
        <v>0</v>
      </c>
      <c r="R24" s="6">
        <f>10</f>
        <v>10</v>
      </c>
      <c r="S24" s="8" t="s">
        <v>19</v>
      </c>
      <c r="T24" s="8"/>
      <c r="V24" s="17" t="s">
        <v>53</v>
      </c>
      <c r="W24" s="18" t="s">
        <v>54</v>
      </c>
      <c r="X24" s="18" t="s">
        <v>55</v>
      </c>
      <c r="Y24" s="19" t="s">
        <v>56</v>
      </c>
      <c r="AA24" s="25" t="s">
        <v>169</v>
      </c>
      <c r="AB24" s="45">
        <v>11</v>
      </c>
      <c r="AC24" s="3" t="s">
        <v>29</v>
      </c>
      <c r="AD24" t="s">
        <v>170</v>
      </c>
      <c r="AG24" s="29" t="s">
        <v>58</v>
      </c>
      <c r="AH24">
        <f>IF(B3&lt;6, $AB$25, $AB$27)+($AE$29*(B14-25))</f>
        <v>105</v>
      </c>
      <c r="AI24" s="29" t="s">
        <v>59</v>
      </c>
      <c r="AJ24">
        <f>IF(B3&lt;6, $AB$25, $AB$27)+($AE$29*(AH27-25))</f>
        <v>123.37774691764706</v>
      </c>
      <c r="AK24" s="29" t="s">
        <v>60</v>
      </c>
      <c r="AL24" s="57">
        <f>IF(B3&lt;6, $AB$25, $AB$27)+($AE$29*(AJ27-25))</f>
        <v>124.76638691764705</v>
      </c>
      <c r="AM24" s="58"/>
    </row>
    <row r="25" spans="1:151" ht="14.7" thickBot="1" x14ac:dyDescent="0.6">
      <c r="K25" s="6">
        <v>4</v>
      </c>
      <c r="L25" s="6">
        <v>2</v>
      </c>
      <c r="M25" s="6">
        <v>2</v>
      </c>
      <c r="N25" s="26">
        <v>8</v>
      </c>
      <c r="O25" s="6">
        <v>75</v>
      </c>
      <c r="P25" s="6">
        <v>0.45</v>
      </c>
      <c r="Q25" s="6">
        <f>Q24+200</f>
        <v>200</v>
      </c>
      <c r="R25" s="6">
        <f>R24+5</f>
        <v>15</v>
      </c>
      <c r="S25" s="8" t="s">
        <v>61</v>
      </c>
      <c r="T25" s="8"/>
      <c r="V25" s="14">
        <f>B17</f>
        <v>2</v>
      </c>
      <c r="W25" s="12">
        <f>IF(B16&gt;2,AB31,"")</f>
        <v>1</v>
      </c>
      <c r="X25" s="12">
        <f>IF(B16&gt;2,AB31,"")</f>
        <v>1</v>
      </c>
      <c r="Y25" s="15">
        <f>B17</f>
        <v>2</v>
      </c>
      <c r="AA25" s="25" t="s">
        <v>171</v>
      </c>
      <c r="AB25" s="3">
        <v>150</v>
      </c>
      <c r="AC25" s="3" t="s">
        <v>78</v>
      </c>
      <c r="AG25" s="30" t="s">
        <v>63</v>
      </c>
      <c r="AH25" s="9">
        <f>ROUND(3*$B$4*$B$4*AH24/(1000),3)</f>
        <v>0.315</v>
      </c>
      <c r="AI25" s="30" t="s">
        <v>64</v>
      </c>
      <c r="AJ25" s="9">
        <f>ROUND(3*$B$4*$B$4*AJ24/(1000),3)</f>
        <v>0.37</v>
      </c>
      <c r="AK25" s="30" t="s">
        <v>65</v>
      </c>
      <c r="AL25" s="9">
        <f>ROUND(3*$B$4*$B$4*AL24/(1000),3)</f>
        <v>0.374</v>
      </c>
      <c r="AM25" s="10"/>
    </row>
    <row r="26" spans="1:151" ht="14.7" thickBot="1" x14ac:dyDescent="0.6">
      <c r="A26" s="3"/>
      <c r="K26" s="6"/>
      <c r="L26" s="6">
        <v>3</v>
      </c>
      <c r="M26" s="6"/>
      <c r="N26" s="26">
        <v>16</v>
      </c>
      <c r="O26" s="6">
        <v>180</v>
      </c>
      <c r="P26" s="6">
        <v>0.42499999999999999</v>
      </c>
      <c r="Q26" s="6">
        <f t="shared" ref="Q26:Q31" si="0">Q25+200</f>
        <v>400</v>
      </c>
      <c r="R26" s="6">
        <f t="shared" ref="R26:R62" si="1">R25+5</f>
        <v>20</v>
      </c>
      <c r="S26" s="8"/>
      <c r="T26" s="8"/>
      <c r="U26" s="8"/>
      <c r="V26" s="67" t="s">
        <v>66</v>
      </c>
      <c r="W26" s="68"/>
      <c r="X26" s="69"/>
      <c r="Y26" s="33" t="s">
        <v>67</v>
      </c>
      <c r="AA26" s="28" t="s">
        <v>172</v>
      </c>
      <c r="AB26" s="8">
        <v>225</v>
      </c>
      <c r="AC26" s="8" t="s">
        <v>78</v>
      </c>
      <c r="AG26" s="30" t="s">
        <v>70</v>
      </c>
      <c r="AH26" s="9">
        <f>AH25+$AE$30</f>
        <v>0.72788921568627452</v>
      </c>
      <c r="AI26" s="30" t="s">
        <v>71</v>
      </c>
      <c r="AJ26" s="9">
        <f>AJ25+$AE$30</f>
        <v>0.78288921568627456</v>
      </c>
      <c r="AK26" s="31" t="s">
        <v>72</v>
      </c>
      <c r="AL26" s="32">
        <f>AL25+$AE$30</f>
        <v>0.78688921568627457</v>
      </c>
      <c r="AM26" s="10"/>
    </row>
    <row r="27" spans="1:151" ht="14.7" hidden="1" thickBot="1" x14ac:dyDescent="0.6">
      <c r="A27" s="3"/>
      <c r="K27" s="6"/>
      <c r="L27" s="6"/>
      <c r="M27" s="6"/>
      <c r="N27" s="26">
        <v>32</v>
      </c>
      <c r="O27" s="6">
        <v>230</v>
      </c>
      <c r="P27" s="6">
        <v>0.42499999999999999</v>
      </c>
      <c r="Q27" s="6">
        <f t="shared" si="0"/>
        <v>600</v>
      </c>
      <c r="R27" s="6">
        <f t="shared" si="1"/>
        <v>25</v>
      </c>
      <c r="S27" s="8"/>
      <c r="T27" s="8"/>
      <c r="U27" s="8"/>
      <c r="V27" s="20" t="s">
        <v>73</v>
      </c>
      <c r="W27" s="21" t="s">
        <v>74</v>
      </c>
      <c r="X27" s="21" t="s">
        <v>75</v>
      </c>
      <c r="Y27" s="34" t="s">
        <v>76</v>
      </c>
      <c r="AA27" s="25" t="s">
        <v>173</v>
      </c>
      <c r="AB27" s="3">
        <v>105</v>
      </c>
      <c r="AC27" s="3" t="s">
        <v>78</v>
      </c>
      <c r="AG27" s="30" t="s">
        <v>79</v>
      </c>
      <c r="AH27" s="9">
        <f>$B$14+(AH26*$AB$32)</f>
        <v>63.286972745098041</v>
      </c>
      <c r="AI27" s="30" t="s">
        <v>80</v>
      </c>
      <c r="AJ27" s="9">
        <f>$B$14+(AJ26*$AB$32)</f>
        <v>66.179972745098041</v>
      </c>
      <c r="AK27" s="31" t="s">
        <v>81</v>
      </c>
      <c r="AL27" s="32">
        <f>$B$14+(AL26*$AB$32)</f>
        <v>66.390372745098034</v>
      </c>
      <c r="AM27" s="10"/>
    </row>
    <row r="28" spans="1:151" hidden="1" x14ac:dyDescent="0.55000000000000004">
      <c r="A28" s="3"/>
      <c r="K28" s="6"/>
      <c r="L28" s="6"/>
      <c r="M28" s="6"/>
      <c r="N28" s="26">
        <v>64</v>
      </c>
      <c r="O28" s="6"/>
      <c r="P28" s="6"/>
      <c r="Q28" s="6">
        <f t="shared" si="0"/>
        <v>800</v>
      </c>
      <c r="R28" s="6">
        <f t="shared" si="1"/>
        <v>30</v>
      </c>
      <c r="S28" s="8"/>
      <c r="T28" s="8"/>
      <c r="U28" s="8"/>
      <c r="V28" s="14" t="str">
        <f>_xlfn.TEXTJOIN(",",TRUE,V25:Y25)</f>
        <v>2,1,1,2</v>
      </c>
      <c r="W28" s="12">
        <f>B18</f>
        <v>16</v>
      </c>
      <c r="X28" s="12"/>
      <c r="Y28" s="15">
        <f>VLOOKUP(W28&amp;V28,U31:X55,4,FALSE)</f>
        <v>52.6</v>
      </c>
      <c r="AA28" s="28" t="s">
        <v>174</v>
      </c>
      <c r="AB28" s="8">
        <v>165</v>
      </c>
      <c r="AC28" s="8" t="s">
        <v>78</v>
      </c>
      <c r="AH28"/>
      <c r="AI28"/>
      <c r="AJ28"/>
      <c r="AK28"/>
      <c r="AL28" s="10"/>
      <c r="AM28" s="10"/>
    </row>
    <row r="29" spans="1:151" hidden="1" x14ac:dyDescent="0.55000000000000004">
      <c r="A29" s="24"/>
      <c r="B29" s="24"/>
      <c r="C29" s="24"/>
      <c r="K29" s="5"/>
      <c r="L29" s="5"/>
      <c r="Q29" s="6">
        <f t="shared" si="0"/>
        <v>1000</v>
      </c>
      <c r="R29" s="6">
        <f t="shared" si="1"/>
        <v>35</v>
      </c>
      <c r="V29" s="59" t="s">
        <v>83</v>
      </c>
      <c r="W29" s="60"/>
      <c r="X29" s="60"/>
      <c r="Y29" s="61"/>
      <c r="AA29" s="25" t="s">
        <v>30</v>
      </c>
      <c r="AB29" s="3">
        <v>25</v>
      </c>
      <c r="AC29" s="3" t="s">
        <v>84</v>
      </c>
      <c r="AD29" t="s">
        <v>85</v>
      </c>
      <c r="AE29" s="43">
        <f>IF(AND(B3&gt;2.999,B3&lt;6.001),(AB26-AB25)/(150-25),(AB28-AB27)/(150-25))</f>
        <v>0.48</v>
      </c>
      <c r="AH29"/>
      <c r="AI29"/>
      <c r="AJ29"/>
      <c r="AK29"/>
      <c r="AL29" s="10"/>
      <c r="AM29" s="10"/>
    </row>
    <row r="30" spans="1:151" ht="86.4" hidden="1" x14ac:dyDescent="0.55000000000000004">
      <c r="A30" s="3"/>
      <c r="K30" s="5"/>
      <c r="L30" s="5"/>
      <c r="Q30" s="6">
        <f t="shared" si="0"/>
        <v>1200</v>
      </c>
      <c r="R30" s="6">
        <f t="shared" si="1"/>
        <v>40</v>
      </c>
      <c r="U30" s="4" t="s">
        <v>86</v>
      </c>
      <c r="V30" s="102" t="s">
        <v>87</v>
      </c>
      <c r="W30" s="103" t="s">
        <v>73</v>
      </c>
      <c r="X30" s="104" t="s">
        <v>88</v>
      </c>
      <c r="Y30" s="22"/>
      <c r="AA30" s="25" t="s">
        <v>89</v>
      </c>
      <c r="AB30" s="3">
        <v>1</v>
      </c>
      <c r="AC30" s="3" t="s">
        <v>90</v>
      </c>
      <c r="AD30" s="27" t="s">
        <v>91</v>
      </c>
      <c r="AE30" s="35">
        <f>AB41+AB45+AB46+AB48+AB49+AB50+AB57</f>
        <v>0.41288921568627451</v>
      </c>
      <c r="AH30"/>
      <c r="AI30"/>
      <c r="AJ30"/>
      <c r="AK30"/>
      <c r="AL30" s="10"/>
      <c r="AM30" s="10"/>
    </row>
    <row r="31" spans="1:151" hidden="1" x14ac:dyDescent="0.55000000000000004">
      <c r="A31" s="23"/>
      <c r="K31" s="5"/>
      <c r="L31" s="5"/>
      <c r="Q31" s="6">
        <f t="shared" si="0"/>
        <v>1400</v>
      </c>
      <c r="R31" s="6">
        <f t="shared" si="1"/>
        <v>45</v>
      </c>
      <c r="U31" s="4" t="str">
        <f t="shared" ref="U31:U55" si="2">V31&amp;W31</f>
        <v>41,1</v>
      </c>
      <c r="V31" s="14">
        <v>4</v>
      </c>
      <c r="W31" s="12" t="s">
        <v>92</v>
      </c>
      <c r="X31" s="99">
        <v>103.7</v>
      </c>
      <c r="Y31" s="13"/>
      <c r="AA31" s="25" t="str">
        <f>IF(B16&gt;2,"Internal Layers Cu Thickness","")</f>
        <v>Internal Layers Cu Thickness</v>
      </c>
      <c r="AB31" s="3">
        <v>1</v>
      </c>
      <c r="AC31" s="3" t="str">
        <f>IF(B16&gt;2,"oz","")</f>
        <v>oz</v>
      </c>
      <c r="AH31"/>
      <c r="AI31"/>
      <c r="AJ31"/>
      <c r="AK31"/>
      <c r="AL31" s="10"/>
      <c r="AM31" s="10"/>
    </row>
    <row r="32" spans="1:151" hidden="1" x14ac:dyDescent="0.55000000000000004">
      <c r="A32" s="3"/>
      <c r="K32" s="5"/>
      <c r="L32" s="5"/>
      <c r="Q32" s="6"/>
      <c r="R32" s="6">
        <f t="shared" si="1"/>
        <v>50</v>
      </c>
      <c r="U32" s="4" t="str">
        <f t="shared" si="2"/>
        <v>42,2</v>
      </c>
      <c r="V32" s="14">
        <v>4</v>
      </c>
      <c r="W32" s="12" t="s">
        <v>93</v>
      </c>
      <c r="X32" s="100">
        <v>93.9</v>
      </c>
      <c r="Y32" s="15"/>
      <c r="AA32" s="25" t="s">
        <v>94</v>
      </c>
      <c r="AB32" s="3">
        <f>Y28</f>
        <v>52.6</v>
      </c>
      <c r="AC32" s="3" t="s">
        <v>95</v>
      </c>
      <c r="AH32"/>
      <c r="AI32"/>
      <c r="AJ32"/>
      <c r="AK32"/>
      <c r="AL32" s="10"/>
      <c r="AM32" s="10"/>
      <c r="EU32" s="1"/>
    </row>
    <row r="33" spans="1:151" hidden="1" x14ac:dyDescent="0.55000000000000004">
      <c r="A33" s="3"/>
      <c r="G33" s="1"/>
      <c r="K33" s="5"/>
      <c r="L33" s="5"/>
      <c r="Q33" s="6"/>
      <c r="R33" s="6">
        <f t="shared" si="1"/>
        <v>55</v>
      </c>
      <c r="U33" s="4" t="str">
        <f t="shared" si="2"/>
        <v>41,1,1,1</v>
      </c>
      <c r="V33" s="14">
        <v>4</v>
      </c>
      <c r="W33" s="12" t="s">
        <v>96</v>
      </c>
      <c r="X33" s="99">
        <v>82.7</v>
      </c>
      <c r="Y33" s="15"/>
      <c r="AA33" s="51" t="s">
        <v>39</v>
      </c>
      <c r="AB33" s="51" t="s">
        <v>6</v>
      </c>
      <c r="AC33" s="51" t="s">
        <v>4</v>
      </c>
      <c r="AH33"/>
      <c r="AI33"/>
      <c r="AJ33"/>
      <c r="AK33"/>
      <c r="AL33" s="10"/>
      <c r="AM33" s="10"/>
    </row>
    <row r="34" spans="1:151" s="1" customFormat="1" hidden="1" x14ac:dyDescent="0.55000000000000004">
      <c r="D34" s="6"/>
      <c r="E34" s="6"/>
      <c r="G34"/>
      <c r="H34"/>
      <c r="I34"/>
      <c r="J34"/>
      <c r="K34" s="5"/>
      <c r="L34" s="5"/>
      <c r="M34"/>
      <c r="N34"/>
      <c r="O34"/>
      <c r="P34"/>
      <c r="Q34"/>
      <c r="R34" s="6">
        <f t="shared" si="1"/>
        <v>60</v>
      </c>
      <c r="S34"/>
      <c r="T34"/>
      <c r="U34" s="4" t="str">
        <f t="shared" si="2"/>
        <v>42,1,1,2</v>
      </c>
      <c r="V34" s="14">
        <v>4</v>
      </c>
      <c r="W34" s="12" t="s">
        <v>97</v>
      </c>
      <c r="X34" s="99">
        <v>79.599999999999994</v>
      </c>
      <c r="Y34" s="15"/>
      <c r="Z34"/>
      <c r="AA34" s="25" t="s">
        <v>98</v>
      </c>
      <c r="AB34" s="3">
        <f>ROUND((B3/SQRT(3))*AB22,2)</f>
        <v>6.86</v>
      </c>
      <c r="AC34" s="3" t="s">
        <v>8</v>
      </c>
      <c r="AD34"/>
      <c r="AE34"/>
      <c r="AF34"/>
      <c r="AG34"/>
      <c r="AH34"/>
      <c r="AI34"/>
      <c r="AJ34"/>
      <c r="AK34"/>
      <c r="AL34" s="10"/>
      <c r="AM34" s="10"/>
      <c r="AN34"/>
      <c r="EU34"/>
    </row>
    <row r="35" spans="1:151" hidden="1" x14ac:dyDescent="0.55000000000000004">
      <c r="A35" s="3"/>
      <c r="K35" s="5"/>
      <c r="L35" s="5"/>
      <c r="R35" s="6">
        <f t="shared" si="1"/>
        <v>65</v>
      </c>
      <c r="U35" s="4" t="str">
        <f t="shared" si="2"/>
        <v>81,1</v>
      </c>
      <c r="V35" s="14">
        <v>8</v>
      </c>
      <c r="W35" s="12" t="s">
        <v>92</v>
      </c>
      <c r="X35" s="99">
        <v>88.5</v>
      </c>
      <c r="Y35" s="15"/>
      <c r="AA35" s="25" t="s">
        <v>99</v>
      </c>
      <c r="AB35" s="3">
        <f>ROUND(AB34/1.41,2)</f>
        <v>4.87</v>
      </c>
      <c r="AC35" s="3" t="s">
        <v>8</v>
      </c>
      <c r="AF35" s="1"/>
      <c r="AG35" s="1"/>
      <c r="AH35" s="1"/>
      <c r="AI35" s="1"/>
      <c r="AJ35" s="1"/>
      <c r="AK35" s="1"/>
      <c r="AL35" s="11"/>
      <c r="AM35" s="11"/>
    </row>
    <row r="36" spans="1:151" hidden="1" x14ac:dyDescent="0.55000000000000004">
      <c r="A36" s="3"/>
      <c r="K36" s="5"/>
      <c r="L36" s="5"/>
      <c r="R36" s="6">
        <f t="shared" si="1"/>
        <v>70</v>
      </c>
      <c r="U36" s="4" t="str">
        <f t="shared" si="2"/>
        <v>82,2</v>
      </c>
      <c r="V36" s="14">
        <v>8</v>
      </c>
      <c r="W36" s="12" t="s">
        <v>93</v>
      </c>
      <c r="X36" s="100">
        <v>77.2</v>
      </c>
      <c r="Y36" s="15"/>
      <c r="AA36" s="25" t="s">
        <v>100</v>
      </c>
      <c r="AB36" s="3">
        <f>B4/0.816</f>
        <v>1.2254901960784315</v>
      </c>
      <c r="AC36" s="3" t="s">
        <v>12</v>
      </c>
      <c r="AH36"/>
      <c r="AI36"/>
      <c r="AJ36"/>
      <c r="AK36"/>
      <c r="AL36" s="10"/>
      <c r="AM36" s="10"/>
    </row>
    <row r="37" spans="1:151" hidden="1" x14ac:dyDescent="0.55000000000000004">
      <c r="A37" s="3"/>
      <c r="K37" s="5"/>
      <c r="L37" s="5"/>
      <c r="R37" s="6">
        <f t="shared" si="1"/>
        <v>75</v>
      </c>
      <c r="U37" s="4" t="str">
        <f t="shared" si="2"/>
        <v>81,1,1,1</v>
      </c>
      <c r="V37" s="14">
        <v>8</v>
      </c>
      <c r="W37" s="12" t="s">
        <v>96</v>
      </c>
      <c r="X37" s="99">
        <v>66.900000000000006</v>
      </c>
      <c r="Y37" s="15"/>
      <c r="AA37" s="28" t="s">
        <v>101</v>
      </c>
      <c r="AB37" s="8">
        <f>B3/B11</f>
        <v>5.2173913043478258E-2</v>
      </c>
      <c r="AC37" s="8" t="s">
        <v>21</v>
      </c>
      <c r="AH37"/>
      <c r="AI37"/>
      <c r="AJ37"/>
      <c r="AK37"/>
      <c r="AL37" s="10"/>
      <c r="AM37" s="10"/>
    </row>
    <row r="38" spans="1:151" ht="43.2" hidden="1" x14ac:dyDescent="0.55000000000000004">
      <c r="A38" s="3"/>
      <c r="K38" s="5"/>
      <c r="L38" s="5"/>
      <c r="R38" s="6">
        <f t="shared" si="1"/>
        <v>80</v>
      </c>
      <c r="U38" s="4" t="str">
        <f t="shared" si="2"/>
        <v>82,1,1,2</v>
      </c>
      <c r="V38" s="14">
        <v>8</v>
      </c>
      <c r="W38" s="12" t="s">
        <v>97</v>
      </c>
      <c r="X38" s="99">
        <v>63.5</v>
      </c>
      <c r="Y38" s="15"/>
      <c r="AA38" s="28" t="s">
        <v>175</v>
      </c>
      <c r="AB38" s="8">
        <f>VLOOKUP(B11,O24:P27,2,FALSE)</f>
        <v>0.42499999999999999</v>
      </c>
      <c r="AC38" s="8" t="s">
        <v>21</v>
      </c>
      <c r="AH38"/>
      <c r="AI38"/>
      <c r="AJ38"/>
      <c r="AK38"/>
      <c r="AL38" s="10"/>
      <c r="AM38" s="10"/>
    </row>
    <row r="39" spans="1:151" ht="28.8" hidden="1" x14ac:dyDescent="0.55000000000000004">
      <c r="A39" s="3"/>
      <c r="K39" s="5"/>
      <c r="L39" s="5"/>
      <c r="R39" s="6">
        <f t="shared" si="1"/>
        <v>85</v>
      </c>
      <c r="U39" s="4" t="str">
        <f t="shared" si="2"/>
        <v>161,1</v>
      </c>
      <c r="V39" s="14">
        <v>16</v>
      </c>
      <c r="W39" s="12" t="s">
        <v>92</v>
      </c>
      <c r="X39" s="99">
        <v>78.900000000000006</v>
      </c>
      <c r="Y39" s="15"/>
      <c r="AA39" s="25" t="s">
        <v>176</v>
      </c>
      <c r="AB39" s="5">
        <f>IF(AB38&gt;B12/1000,AB38,B12/1000)</f>
        <v>0.42499999999999999</v>
      </c>
      <c r="AC39" s="3" t="s">
        <v>21</v>
      </c>
      <c r="AH39"/>
      <c r="AI39"/>
      <c r="AJ39"/>
      <c r="AK39"/>
      <c r="AL39" s="10"/>
      <c r="AM39" s="10"/>
    </row>
    <row r="40" spans="1:151" hidden="1" x14ac:dyDescent="0.55000000000000004">
      <c r="A40" s="3"/>
      <c r="K40" s="5"/>
      <c r="L40" s="5"/>
      <c r="R40" s="6">
        <f t="shared" si="1"/>
        <v>90</v>
      </c>
      <c r="U40" s="4" t="str">
        <f t="shared" si="2"/>
        <v>162,2</v>
      </c>
      <c r="V40" s="14">
        <v>16</v>
      </c>
      <c r="W40" s="12" t="s">
        <v>93</v>
      </c>
      <c r="X40" s="100">
        <v>66.3</v>
      </c>
      <c r="Y40" s="16"/>
      <c r="AA40" s="47" t="s">
        <v>103</v>
      </c>
      <c r="AB40" s="24" t="s">
        <v>6</v>
      </c>
      <c r="AC40" s="24" t="s">
        <v>4</v>
      </c>
      <c r="AH40"/>
      <c r="AI40"/>
      <c r="AJ40"/>
      <c r="AK40"/>
      <c r="AL40" s="10"/>
      <c r="AM40" s="10"/>
    </row>
    <row r="41" spans="1:151" hidden="1" x14ac:dyDescent="0.55000000000000004">
      <c r="A41" s="3"/>
      <c r="K41" s="5"/>
      <c r="L41" s="5"/>
      <c r="R41" s="6">
        <f t="shared" si="1"/>
        <v>95</v>
      </c>
      <c r="U41" s="4" t="str">
        <f t="shared" si="2"/>
        <v>161,1,1,1</v>
      </c>
      <c r="V41" s="14">
        <v>16</v>
      </c>
      <c r="W41" s="12" t="s">
        <v>96</v>
      </c>
      <c r="X41" s="99">
        <v>56.3</v>
      </c>
      <c r="Y41" s="15"/>
      <c r="AA41" s="25" t="s">
        <v>104</v>
      </c>
      <c r="AB41" s="46">
        <f>B3*IF(B3&gt;6.01,AB24,AB23)/1000</f>
        <v>0.13200000000000001</v>
      </c>
      <c r="AC41" s="3"/>
      <c r="AH41"/>
      <c r="AI41"/>
      <c r="AJ41"/>
      <c r="AK41"/>
      <c r="AL41" s="10"/>
      <c r="AM41" s="10"/>
    </row>
    <row r="42" spans="1:151" hidden="1" x14ac:dyDescent="0.55000000000000004">
      <c r="A42" s="3"/>
      <c r="K42" s="5"/>
      <c r="L42" s="5"/>
      <c r="R42" s="6">
        <f t="shared" si="1"/>
        <v>100</v>
      </c>
      <c r="U42" s="4" t="str">
        <f t="shared" si="2"/>
        <v>162,1,1,2</v>
      </c>
      <c r="V42" s="14">
        <v>16</v>
      </c>
      <c r="W42" s="12" t="s">
        <v>97</v>
      </c>
      <c r="X42" s="99">
        <v>52.6</v>
      </c>
      <c r="Y42" s="15"/>
      <c r="AA42" s="25"/>
      <c r="AB42" s="3"/>
      <c r="AC42" s="3"/>
      <c r="AH42"/>
      <c r="AI42"/>
      <c r="AJ42"/>
      <c r="AK42"/>
      <c r="AL42" s="10"/>
      <c r="AM42" s="10"/>
    </row>
    <row r="43" spans="1:151" hidden="1" x14ac:dyDescent="0.55000000000000004">
      <c r="A43" s="3"/>
      <c r="K43" s="5"/>
      <c r="L43" s="5"/>
      <c r="R43" s="6">
        <f t="shared" si="1"/>
        <v>105</v>
      </c>
      <c r="U43" s="4" t="str">
        <f t="shared" si="2"/>
        <v>321,1</v>
      </c>
      <c r="V43" s="14">
        <v>32</v>
      </c>
      <c r="W43" s="12" t="s">
        <v>92</v>
      </c>
      <c r="X43" s="99">
        <v>73.8</v>
      </c>
      <c r="Y43" s="15"/>
      <c r="AA43" s="47" t="s">
        <v>105</v>
      </c>
      <c r="AB43" s="24" t="s">
        <v>6</v>
      </c>
      <c r="AC43" s="24" t="s">
        <v>4</v>
      </c>
      <c r="AH43"/>
      <c r="AI43"/>
      <c r="AJ43"/>
      <c r="AK43"/>
      <c r="AL43" s="10"/>
      <c r="AM43" s="10"/>
    </row>
    <row r="44" spans="1:151" hidden="1" x14ac:dyDescent="0.55000000000000004">
      <c r="A44" s="3"/>
      <c r="K44" s="5"/>
      <c r="L44" s="5"/>
      <c r="R44" s="6">
        <f t="shared" si="1"/>
        <v>110</v>
      </c>
      <c r="U44" s="4" t="str">
        <f t="shared" si="2"/>
        <v>322,2</v>
      </c>
      <c r="V44" s="14">
        <v>32</v>
      </c>
      <c r="W44" s="12" t="s">
        <v>93</v>
      </c>
      <c r="X44" s="100">
        <v>60</v>
      </c>
      <c r="Y44" s="15"/>
      <c r="AA44" s="48" t="s">
        <v>106</v>
      </c>
      <c r="AB44" s="45">
        <f>ROUND(2*AB36*AB36*AL24/(1000),3)</f>
        <v>0.375</v>
      </c>
      <c r="AC44" s="3" t="s">
        <v>10</v>
      </c>
      <c r="AD44" s="44" t="s">
        <v>107</v>
      </c>
      <c r="AH44"/>
      <c r="AI44"/>
      <c r="AJ44"/>
      <c r="AK44"/>
      <c r="AL44" s="10"/>
      <c r="AM44" s="10"/>
    </row>
    <row r="45" spans="1:151" hidden="1" x14ac:dyDescent="0.55000000000000004">
      <c r="A45" s="3"/>
      <c r="K45" s="5"/>
      <c r="L45" s="5"/>
      <c r="R45" s="6">
        <f t="shared" si="1"/>
        <v>115</v>
      </c>
      <c r="U45" s="4" t="str">
        <f t="shared" si="2"/>
        <v>321,1,1,1</v>
      </c>
      <c r="V45" s="14">
        <v>32</v>
      </c>
      <c r="W45" s="12" t="s">
        <v>96</v>
      </c>
      <c r="X45" s="99">
        <v>49.8</v>
      </c>
      <c r="Y45" s="15"/>
      <c r="AA45" s="48" t="s">
        <v>108</v>
      </c>
      <c r="AB45" s="46">
        <f>ROUND(B3*AB36*AB37/1000000*B10*1000,3)</f>
        <v>1.4999999999999999E-2</v>
      </c>
      <c r="AC45" s="3" t="s">
        <v>10</v>
      </c>
      <c r="AD45" s="44" t="s">
        <v>109</v>
      </c>
      <c r="AH45"/>
      <c r="AI45"/>
      <c r="AJ45"/>
      <c r="AK45"/>
      <c r="AL45" s="10"/>
      <c r="AM45" s="10"/>
    </row>
    <row r="46" spans="1:151" hidden="1" x14ac:dyDescent="0.55000000000000004">
      <c r="A46" s="3"/>
      <c r="K46" s="5"/>
      <c r="L46" s="5"/>
      <c r="R46" s="6">
        <f t="shared" si="1"/>
        <v>120</v>
      </c>
      <c r="U46" s="4" t="str">
        <f t="shared" si="2"/>
        <v>322,1,1,2</v>
      </c>
      <c r="V46" s="14">
        <v>32</v>
      </c>
      <c r="W46" s="12" t="s">
        <v>97</v>
      </c>
      <c r="X46" s="99">
        <v>45.9</v>
      </c>
      <c r="Y46" s="15"/>
      <c r="AA46" s="48" t="s">
        <v>110</v>
      </c>
      <c r="AB46" s="46">
        <f>AB30*5*B10*0.000000001*1000</f>
        <v>1E-4</v>
      </c>
      <c r="AC46" s="3" t="s">
        <v>10</v>
      </c>
      <c r="AD46" s="43" t="s">
        <v>111</v>
      </c>
      <c r="AH46"/>
      <c r="AI46"/>
      <c r="AJ46"/>
      <c r="AK46"/>
      <c r="AL46" s="10"/>
      <c r="AM46" s="10"/>
    </row>
    <row r="47" spans="1:151" hidden="1" x14ac:dyDescent="0.55000000000000004">
      <c r="A47" s="3"/>
      <c r="K47" s="5"/>
      <c r="L47" s="5"/>
      <c r="R47" s="6">
        <f t="shared" si="1"/>
        <v>125</v>
      </c>
      <c r="U47" s="4" t="str">
        <f t="shared" si="2"/>
        <v>641,1</v>
      </c>
      <c r="V47" s="14">
        <v>64</v>
      </c>
      <c r="W47" s="12" t="s">
        <v>92</v>
      </c>
      <c r="X47" s="99">
        <v>71.5</v>
      </c>
      <c r="Y47" s="15"/>
      <c r="AA47" s="48" t="s">
        <v>112</v>
      </c>
      <c r="AB47" s="45">
        <f>AB44+AB45+AB46</f>
        <v>0.3901</v>
      </c>
      <c r="AC47" s="3" t="s">
        <v>10</v>
      </c>
      <c r="AH47"/>
      <c r="AI47"/>
      <c r="AJ47"/>
      <c r="AK47"/>
      <c r="AL47" s="10"/>
      <c r="AM47" s="10"/>
    </row>
    <row r="48" spans="1:151" hidden="1" x14ac:dyDescent="0.55000000000000004">
      <c r="A48" s="3"/>
      <c r="K48" s="5"/>
      <c r="L48" s="5"/>
      <c r="R48" s="6">
        <f t="shared" si="1"/>
        <v>130</v>
      </c>
      <c r="U48" s="4" t="str">
        <f t="shared" si="2"/>
        <v>642,2</v>
      </c>
      <c r="V48" s="14">
        <v>64</v>
      </c>
      <c r="W48" s="12" t="s">
        <v>93</v>
      </c>
      <c r="X48" s="100">
        <v>56.6</v>
      </c>
      <c r="Y48" s="15"/>
      <c r="AA48" s="49" t="s">
        <v>113</v>
      </c>
      <c r="AB48" s="55">
        <f>2*0.7*AB36*B10*1000*AB39/1000000</f>
        <v>1.4583333333333332E-2</v>
      </c>
      <c r="AC48" s="3" t="s">
        <v>10</v>
      </c>
      <c r="AD48" s="44" t="s">
        <v>114</v>
      </c>
      <c r="AH48"/>
      <c r="AI48"/>
      <c r="AJ48"/>
      <c r="AK48"/>
      <c r="AL48" s="10"/>
      <c r="AM48" s="10"/>
    </row>
    <row r="49" spans="1:151" hidden="1" x14ac:dyDescent="0.55000000000000004">
      <c r="A49" s="3"/>
      <c r="K49" s="5"/>
      <c r="L49" s="5"/>
      <c r="R49" s="6">
        <f t="shared" si="1"/>
        <v>135</v>
      </c>
      <c r="U49" s="4" t="str">
        <f t="shared" si="2"/>
        <v>641,1,1,1</v>
      </c>
      <c r="V49" s="14">
        <v>64</v>
      </c>
      <c r="W49" s="12" t="s">
        <v>96</v>
      </c>
      <c r="X49" s="99">
        <v>46.2</v>
      </c>
      <c r="Y49" s="15"/>
      <c r="AA49" s="50" t="s">
        <v>115</v>
      </c>
      <c r="AB49" s="55">
        <f>(B3-3.3)*B13*0.001</f>
        <v>0.17400000000000002</v>
      </c>
      <c r="AC49" s="3" t="s">
        <v>10</v>
      </c>
      <c r="AD49" s="43" t="s">
        <v>116</v>
      </c>
      <c r="AH49"/>
      <c r="AI49"/>
      <c r="AJ49"/>
      <c r="AK49"/>
      <c r="AL49" s="10"/>
      <c r="AM49" s="10"/>
    </row>
    <row r="50" spans="1:151" hidden="1" x14ac:dyDescent="0.55000000000000004">
      <c r="A50" s="24"/>
      <c r="B50" s="24"/>
      <c r="C50" s="24"/>
      <c r="F50" s="5"/>
      <c r="K50" s="5"/>
      <c r="L50" s="5"/>
      <c r="R50" s="6">
        <f t="shared" si="1"/>
        <v>140</v>
      </c>
      <c r="U50" s="4" t="str">
        <f t="shared" si="2"/>
        <v>642,1,1,2</v>
      </c>
      <c r="V50" s="36">
        <v>64</v>
      </c>
      <c r="W50" s="37" t="s">
        <v>97</v>
      </c>
      <c r="X50" s="101">
        <v>42.1</v>
      </c>
      <c r="Y50" s="38"/>
      <c r="AA50" s="49" t="s">
        <v>117</v>
      </c>
      <c r="AB50" s="55">
        <v>0</v>
      </c>
      <c r="AC50" s="3" t="s">
        <v>10</v>
      </c>
      <c r="AD50" t="s">
        <v>118</v>
      </c>
      <c r="AH50"/>
      <c r="AI50"/>
      <c r="AJ50"/>
      <c r="AK50"/>
      <c r="AL50" s="10"/>
      <c r="AM50" s="10"/>
    </row>
    <row r="51" spans="1:151" hidden="1" x14ac:dyDescent="0.55000000000000004">
      <c r="A51" s="25"/>
      <c r="E51" s="3"/>
      <c r="F51" s="3"/>
      <c r="K51" s="5"/>
      <c r="L51" s="5"/>
      <c r="R51" s="6">
        <f t="shared" si="1"/>
        <v>145</v>
      </c>
      <c r="U51" s="40" t="str">
        <f t="shared" si="2"/>
        <v>43,1,1,3</v>
      </c>
      <c r="V51" s="39">
        <v>4</v>
      </c>
      <c r="W51" s="12" t="s">
        <v>119</v>
      </c>
      <c r="X51" s="99">
        <v>77.8</v>
      </c>
      <c r="Y51" s="41"/>
      <c r="AA51" s="25"/>
      <c r="AB51" s="3"/>
      <c r="AC51" s="3"/>
      <c r="AH51"/>
      <c r="AI51"/>
      <c r="AJ51"/>
      <c r="AK51"/>
      <c r="AL51" s="10"/>
      <c r="AM51" s="10"/>
    </row>
    <row r="52" spans="1:151" hidden="1" x14ac:dyDescent="0.55000000000000004">
      <c r="A52" s="3"/>
      <c r="F52" s="5"/>
      <c r="R52" s="6">
        <f t="shared" si="1"/>
        <v>150</v>
      </c>
      <c r="U52" s="40" t="str">
        <f t="shared" si="2"/>
        <v>83,1,1,3</v>
      </c>
      <c r="V52" s="39">
        <v>8</v>
      </c>
      <c r="W52" s="12" t="s">
        <v>119</v>
      </c>
      <c r="X52" s="99">
        <v>61.6</v>
      </c>
      <c r="Y52" s="41"/>
      <c r="AA52" s="51" t="s">
        <v>39</v>
      </c>
      <c r="AB52" s="51" t="s">
        <v>6</v>
      </c>
      <c r="AC52" s="51" t="s">
        <v>4</v>
      </c>
      <c r="AH52"/>
      <c r="AI52"/>
      <c r="AJ52"/>
      <c r="AK52"/>
      <c r="AL52" s="10"/>
      <c r="AM52" s="10"/>
    </row>
    <row r="53" spans="1:151" hidden="1" x14ac:dyDescent="0.55000000000000004">
      <c r="A53" s="23"/>
      <c r="K53" s="5"/>
      <c r="R53" s="6">
        <f t="shared" si="1"/>
        <v>155</v>
      </c>
      <c r="U53" s="40" t="str">
        <f t="shared" si="2"/>
        <v>163,1,1,3</v>
      </c>
      <c r="V53" s="39">
        <v>16</v>
      </c>
      <c r="W53" s="12" t="s">
        <v>119</v>
      </c>
      <c r="X53" s="99">
        <v>50.5</v>
      </c>
      <c r="Y53" s="41"/>
      <c r="AA53" s="4" t="s">
        <v>177</v>
      </c>
      <c r="AH53"/>
      <c r="AI53"/>
      <c r="AJ53"/>
      <c r="AK53"/>
      <c r="AL53" s="10"/>
      <c r="AM53" s="10"/>
      <c r="EU53" s="4"/>
    </row>
    <row r="54" spans="1:151" hidden="1" x14ac:dyDescent="0.55000000000000004">
      <c r="A54" s="24"/>
      <c r="B54" s="24"/>
      <c r="C54" s="24"/>
      <c r="G54" s="4"/>
      <c r="R54" s="6">
        <f t="shared" si="1"/>
        <v>160</v>
      </c>
      <c r="U54" s="40" t="str">
        <f t="shared" si="2"/>
        <v>323,1,1,3</v>
      </c>
      <c r="V54" s="39">
        <v>32</v>
      </c>
      <c r="W54" s="12" t="s">
        <v>119</v>
      </c>
      <c r="X54" s="99">
        <v>43.6</v>
      </c>
      <c r="Y54" s="41"/>
      <c r="AA54" s="25" t="s">
        <v>121</v>
      </c>
      <c r="AB54" s="3">
        <f>B8*B9</f>
        <v>0</v>
      </c>
      <c r="AC54" s="3" t="s">
        <v>8</v>
      </c>
      <c r="AD54" s="10"/>
      <c r="AE54" s="10"/>
      <c r="AH54"/>
      <c r="AI54"/>
      <c r="AJ54"/>
      <c r="AK54"/>
      <c r="AL54" s="10"/>
      <c r="AM54" s="10"/>
      <c r="EU54" s="4"/>
    </row>
    <row r="55" spans="1:151" s="4" customFormat="1" ht="43.5" hidden="1" thickBot="1" x14ac:dyDescent="0.6">
      <c r="A55" s="25"/>
      <c r="D55" s="7"/>
      <c r="E55" s="7"/>
      <c r="H55"/>
      <c r="I55"/>
      <c r="J55"/>
      <c r="K55"/>
      <c r="L55"/>
      <c r="M55"/>
      <c r="N55"/>
      <c r="O55"/>
      <c r="P55"/>
      <c r="Q55"/>
      <c r="R55" s="6">
        <f t="shared" si="1"/>
        <v>165</v>
      </c>
      <c r="S55"/>
      <c r="T55"/>
      <c r="U55" s="40" t="str">
        <f t="shared" si="2"/>
        <v>643,1,1,3</v>
      </c>
      <c r="V55" s="105">
        <v>64</v>
      </c>
      <c r="W55" s="37" t="s">
        <v>119</v>
      </c>
      <c r="X55" s="101">
        <v>39.700000000000003</v>
      </c>
      <c r="Y55" s="42"/>
      <c r="Z55"/>
      <c r="AA55" s="28" t="s">
        <v>122</v>
      </c>
      <c r="AB55" s="8">
        <f>IF(B6=0,IF(B5="Wye",(AB36*3*B7*1000)/(B3+(2*AB54)),(AB36*B7*1000)/(B3+AB54)),B6)</f>
        <v>300</v>
      </c>
      <c r="AC55" s="8" t="s">
        <v>21</v>
      </c>
      <c r="AD55" s="50" t="s">
        <v>123</v>
      </c>
      <c r="AE55" s="52" t="s">
        <v>124</v>
      </c>
      <c r="AF55"/>
      <c r="AG55" s="53"/>
      <c r="AH55"/>
      <c r="AI55"/>
      <c r="AJ55"/>
      <c r="AK55"/>
      <c r="AL55" s="10"/>
      <c r="AM55" s="10"/>
      <c r="AN55"/>
      <c r="EU55"/>
    </row>
    <row r="56" spans="1:151" s="4" customFormat="1" ht="43.2" hidden="1" x14ac:dyDescent="0.55000000000000004">
      <c r="A56" s="24"/>
      <c r="B56" s="24"/>
      <c r="C56" s="24"/>
      <c r="D56" s="7"/>
      <c r="E56" s="7"/>
      <c r="G56"/>
      <c r="H56"/>
      <c r="I56"/>
      <c r="J56"/>
      <c r="R56" s="6">
        <f t="shared" si="1"/>
        <v>170</v>
      </c>
      <c r="AA56" s="25" t="s">
        <v>125</v>
      </c>
      <c r="AB56" s="3">
        <f>6*(1/2)*0.7*AB36*AB55/1000000*B9</f>
        <v>7.7205882352941166E-2</v>
      </c>
      <c r="AC56" s="3" t="s">
        <v>10</v>
      </c>
      <c r="AD56" s="45" t="s">
        <v>126</v>
      </c>
      <c r="AE56" s="54"/>
      <c r="AG56" s="54"/>
      <c r="AN56"/>
      <c r="EU56"/>
    </row>
    <row r="57" spans="1:151" hidden="1" x14ac:dyDescent="0.55000000000000004">
      <c r="A57" s="24"/>
      <c r="K57" s="4"/>
      <c r="L57" s="4"/>
      <c r="M57" s="4"/>
      <c r="N57" s="4"/>
      <c r="O57" s="4"/>
      <c r="P57" s="4"/>
      <c r="Q57" s="4"/>
      <c r="R57" s="6">
        <f t="shared" si="1"/>
        <v>175</v>
      </c>
      <c r="S57" s="4"/>
      <c r="T57" s="4"/>
      <c r="U57" s="4"/>
      <c r="V57" s="4"/>
      <c r="W57" s="4"/>
      <c r="X57" s="4"/>
      <c r="Y57" s="4"/>
      <c r="Z57" s="4"/>
      <c r="AA57" s="25" t="s">
        <v>178</v>
      </c>
      <c r="AB57" s="56">
        <f>AB56</f>
        <v>7.7205882352941166E-2</v>
      </c>
      <c r="AC57" s="3" t="s">
        <v>10</v>
      </c>
      <c r="AD57" s="48"/>
      <c r="AE57" s="54"/>
      <c r="AF57" s="4"/>
      <c r="AG57" s="54"/>
      <c r="AH57" s="4"/>
      <c r="AI57" s="4"/>
      <c r="AJ57" s="4"/>
      <c r="AK57" s="4"/>
      <c r="AL57" s="4"/>
      <c r="AM57" s="4"/>
    </row>
    <row r="58" spans="1:151" hidden="1" x14ac:dyDescent="0.55000000000000004">
      <c r="A58" s="3"/>
      <c r="R58" s="6">
        <f t="shared" si="1"/>
        <v>180</v>
      </c>
      <c r="AH58"/>
      <c r="AI58"/>
      <c r="AJ58"/>
      <c r="AK58"/>
      <c r="AL58" s="10"/>
      <c r="AM58" s="10"/>
      <c r="EO58" s="10"/>
      <c r="EP58" s="10"/>
      <c r="EQ58" s="10"/>
      <c r="ER58" s="10"/>
    </row>
    <row r="59" spans="1:151" hidden="1" x14ac:dyDescent="0.55000000000000004">
      <c r="A59" s="3"/>
      <c r="R59" s="6">
        <f t="shared" si="1"/>
        <v>185</v>
      </c>
      <c r="AH59"/>
      <c r="AI59"/>
      <c r="AJ59"/>
      <c r="AK59"/>
      <c r="EO59" s="10"/>
      <c r="EP59" s="10"/>
      <c r="EQ59" s="10"/>
      <c r="ER59" s="10"/>
    </row>
    <row r="60" spans="1:151" hidden="1" x14ac:dyDescent="0.55000000000000004">
      <c r="A60" s="3"/>
      <c r="R60" s="6">
        <f t="shared" si="1"/>
        <v>190</v>
      </c>
      <c r="AH60"/>
      <c r="AI60"/>
      <c r="AJ60"/>
      <c r="AK60"/>
      <c r="EO60" s="10"/>
      <c r="EP60" s="10"/>
      <c r="EQ60" s="10"/>
      <c r="ER60" s="10"/>
    </row>
    <row r="61" spans="1:151" hidden="1" x14ac:dyDescent="0.55000000000000004">
      <c r="A61" s="3"/>
      <c r="R61" s="6">
        <f t="shared" si="1"/>
        <v>195</v>
      </c>
      <c r="AH61"/>
      <c r="AI61"/>
      <c r="AJ61"/>
      <c r="AK61"/>
      <c r="EO61" s="10"/>
      <c r="EP61" s="10"/>
      <c r="EQ61" s="10"/>
      <c r="ER61" s="10"/>
    </row>
    <row r="62" spans="1:151" hidden="1" x14ac:dyDescent="0.55000000000000004">
      <c r="A62" s="3"/>
      <c r="R62" s="6">
        <f t="shared" si="1"/>
        <v>200</v>
      </c>
      <c r="EM62" s="10"/>
      <c r="EN62" s="10"/>
      <c r="EO62" s="10"/>
      <c r="EP62" s="10"/>
    </row>
    <row r="63" spans="1:151" hidden="1" x14ac:dyDescent="0.55000000000000004">
      <c r="A63" s="3"/>
      <c r="R63" s="6"/>
      <c r="EM63" s="10"/>
      <c r="EN63" s="10"/>
      <c r="EO63" s="10"/>
      <c r="EP63" s="10"/>
    </row>
    <row r="64" spans="1:151" hidden="1" x14ac:dyDescent="0.55000000000000004">
      <c r="A64" s="3"/>
      <c r="R64" s="6"/>
      <c r="EM64" s="10"/>
      <c r="EN64" s="10"/>
      <c r="EO64" s="10"/>
      <c r="EP64" s="10"/>
    </row>
    <row r="65" spans="1:18" hidden="1" x14ac:dyDescent="0.55000000000000004">
      <c r="A65" s="3"/>
      <c r="R65" s="6"/>
    </row>
    <row r="66" spans="1:18" ht="43.5" hidden="1" customHeight="1" x14ac:dyDescent="0.55000000000000004">
      <c r="A66" s="3"/>
      <c r="R66" s="6"/>
    </row>
    <row r="67" spans="1:18" hidden="1" x14ac:dyDescent="0.55000000000000004">
      <c r="A67" s="3"/>
      <c r="R67" s="6"/>
    </row>
    <row r="68" spans="1:18" hidden="1" x14ac:dyDescent="0.55000000000000004">
      <c r="A68" s="3"/>
      <c r="R68" s="6"/>
    </row>
    <row r="69" spans="1:18" hidden="1" x14ac:dyDescent="0.55000000000000004">
      <c r="A69" s="3"/>
      <c r="R69" s="6"/>
    </row>
    <row r="70" spans="1:18" hidden="1" x14ac:dyDescent="0.55000000000000004">
      <c r="A70" s="3"/>
      <c r="R70" s="6"/>
    </row>
    <row r="71" spans="1:18" hidden="1" x14ac:dyDescent="0.55000000000000004">
      <c r="A71" s="3"/>
      <c r="R71" s="6"/>
    </row>
    <row r="72" spans="1:18" hidden="1" x14ac:dyDescent="0.55000000000000004">
      <c r="A72" s="3"/>
      <c r="R72" s="6"/>
    </row>
    <row r="73" spans="1:18" hidden="1" x14ac:dyDescent="0.55000000000000004">
      <c r="A73" s="3"/>
      <c r="R73" s="6"/>
    </row>
    <row r="74" spans="1:18" hidden="1" x14ac:dyDescent="0.55000000000000004">
      <c r="A74" s="3"/>
      <c r="R74" s="6"/>
    </row>
    <row r="75" spans="1:18" hidden="1" x14ac:dyDescent="0.55000000000000004">
      <c r="A75" s="3"/>
      <c r="R75" s="6"/>
    </row>
    <row r="76" spans="1:18" hidden="1" x14ac:dyDescent="0.55000000000000004">
      <c r="A76" s="3"/>
      <c r="R76" s="6"/>
    </row>
    <row r="77" spans="1:18" hidden="1" x14ac:dyDescent="0.55000000000000004">
      <c r="A77" s="3"/>
      <c r="R77" s="6"/>
    </row>
    <row r="78" spans="1:18" hidden="1" x14ac:dyDescent="0.55000000000000004">
      <c r="A78" s="3"/>
      <c r="R78" s="6"/>
    </row>
    <row r="79" spans="1:18" hidden="1" x14ac:dyDescent="0.55000000000000004">
      <c r="A79" s="3"/>
      <c r="R79" s="6"/>
    </row>
    <row r="80" spans="1:18" hidden="1" x14ac:dyDescent="0.55000000000000004">
      <c r="A80" s="3"/>
      <c r="R80" s="6"/>
    </row>
    <row r="81" spans="1:33" hidden="1" x14ac:dyDescent="0.55000000000000004">
      <c r="A81" s="3"/>
      <c r="R81" s="6"/>
    </row>
    <row r="82" spans="1:33" hidden="1" x14ac:dyDescent="0.55000000000000004">
      <c r="A82" s="3"/>
      <c r="R82" s="6"/>
    </row>
    <row r="83" spans="1:33" hidden="1" x14ac:dyDescent="0.55000000000000004">
      <c r="A83" s="3"/>
      <c r="R83" s="6"/>
    </row>
    <row r="84" spans="1:33" hidden="1" x14ac:dyDescent="0.55000000000000004">
      <c r="A84" s="3"/>
      <c r="R84" s="6"/>
    </row>
    <row r="85" spans="1:33" hidden="1" x14ac:dyDescent="0.55000000000000004">
      <c r="A85" s="3"/>
      <c r="R85" s="6"/>
    </row>
    <row r="86" spans="1:33" hidden="1" x14ac:dyDescent="0.55000000000000004">
      <c r="A86" s="3"/>
      <c r="R86" s="6"/>
    </row>
    <row r="87" spans="1:33" hidden="1" x14ac:dyDescent="0.55000000000000004">
      <c r="A87" s="3"/>
      <c r="R87" s="6"/>
    </row>
    <row r="88" spans="1:33" hidden="1" x14ac:dyDescent="0.55000000000000004">
      <c r="A88" s="3"/>
    </row>
    <row r="89" spans="1:33" hidden="1" x14ac:dyDescent="0.55000000000000004">
      <c r="A89" s="3"/>
    </row>
    <row r="90" spans="1:33" hidden="1" x14ac:dyDescent="0.55000000000000004">
      <c r="A90" s="3"/>
    </row>
    <row r="91" spans="1:33" hidden="1" x14ac:dyDescent="0.55000000000000004">
      <c r="A91" s="3"/>
    </row>
    <row r="92" spans="1:33" hidden="1" x14ac:dyDescent="0.55000000000000004">
      <c r="AG92" s="5"/>
    </row>
    <row r="93" spans="1:33" hidden="1" x14ac:dyDescent="0.55000000000000004">
      <c r="AG93" s="5"/>
    </row>
    <row r="94" spans="1:33" hidden="1" x14ac:dyDescent="0.55000000000000004">
      <c r="AG94" s="5"/>
    </row>
  </sheetData>
  <sheetProtection algorithmName="SHA-512" hashValue="+uJFZOaeQluSo82su1ubM0hrNC4j0K+NJqqJcQOCJYxwmDvSE6UKqqWA4YIOcSdjXONU8SHP5X+6Ivs4Y2V9Cw==" saltValue="6fBbksEJfjzL0RULtoG/9Q==" spinCount="100000" sheet="1" objects="1" scenarios="1"/>
  <mergeCells count="2">
    <mergeCell ref="B1:F1"/>
    <mergeCell ref="A19:C19"/>
  </mergeCells>
  <conditionalFormatting sqref="E4">
    <cfRule type="cellIs" dxfId="19" priority="1" operator="lessThan">
      <formula>125</formula>
    </cfRule>
    <cfRule type="cellIs" dxfId="18" priority="2" operator="greaterThan">
      <formula>125</formula>
    </cfRule>
  </conditionalFormatting>
  <dataValidations count="19">
    <dataValidation type="decimal" allowBlank="1" showInputMessage="1" showErrorMessage="1" error="AVDD output current out of range" prompt="Enter the AVDD output load current between 0 to 100 mA" sqref="B13" xr:uid="{C8E8C670-E89F-4D39-AE4E-FB9F60791120}">
      <formula1>0</formula1>
      <formula2>100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4" xr:uid="{36C78B0E-2FBD-466E-834B-C6486EC700E5}">
      <formula1>-40</formula1>
      <formula2>125</formula2>
    </dataValidation>
    <dataValidation type="list" allowBlank="1" showInputMessage="1" showErrorMessage="1" prompt="Select copper thickness of top/bottom layers (oz)" sqref="B17" xr:uid="{7804C750-34E5-4EB5-857F-6B4C3374B04D}">
      <formula1>$L$24:$L$26</formula1>
    </dataValidation>
    <dataValidation type="list" allowBlank="1" showInputMessage="1" showErrorMessage="1" prompt="Select wye or delta motor configuration" sqref="B5" xr:uid="{894B1CA7-1DCC-4C7E-80FA-3AFE4895B7FC}">
      <formula1>$S$24:$S$25</formula1>
    </dataValidation>
    <dataValidation type="list" allowBlank="1" showInputMessage="1" showErrorMessage="1" prompt="Select an output slew rate setting (V/us)" sqref="B11" xr:uid="{01A6B1EB-B84B-4EB7-98F0-FEBF3F16EB1F}">
      <formula1>$O$24:$O$27</formula1>
    </dataValidation>
    <dataValidation type="list" allowBlank="1" showInputMessage="1" showErrorMessage="1" prompt="Select PCB area (cm2)" sqref="B18" xr:uid="{C17CC76B-B4BD-422A-BCE3-C9D2D6459177}">
      <formula1>$N$24:$N$28</formula1>
    </dataValidation>
    <dataValidation type="list" allowBlank="1" showInputMessage="1" showErrorMessage="1" prompt="Select # of PCB Layers" sqref="B16" xr:uid="{5FAD79EE-BF0B-414C-BF06-44ED5892C625}">
      <formula1>$K$24:$K$25</formula1>
    </dataValidation>
    <dataValidation type="list" allowBlank="1" showInputMessage="1" showErrorMessage="1" error="This PWM frequency is outside of the operating range of the DRV8316" prompt="Select a PWM frequency between 10kHz and 200kHz" sqref="B10" xr:uid="{B3436387-4832-4C0A-B437-D7F02579DD16}">
      <formula1>$R$24:$R$62</formula1>
    </dataValidation>
    <dataValidation type="list" allowBlank="1" showInputMessage="1" showErrorMessage="1" prompt="Select copper thickness of top/bottom layers (oz)" sqref="B18" xr:uid="{01A724D2-C25C-48B8-AF45-3CC8D46DF876}">
      <formula1>$N$24:$N$28</formula1>
    </dataValidation>
    <dataValidation allowBlank="1" showInputMessage="1" showErrorMessage="1" prompt="Enter the motor's commutation time (tcomm) as shown on the diagram to the right. If unknown, enter &quot;0&quot;" sqref="B6" xr:uid="{BB06876F-DA28-4F41-A0DB-9961E10CDF1C}"/>
    <dataValidation allowBlank="1" showInputMessage="1" showErrorMessage="1" prompt="Enter the motor's phase inductance in mH" sqref="B7" xr:uid="{09E7A162-5A44-4692-B8D3-86C62A95D269}"/>
    <dataValidation allowBlank="1" showInputMessage="1" showErrorMessage="1" prompt="Enter the motor phase's Back-EMF constant (Ke_ph)" sqref="B8" xr:uid="{033C07CA-6EDE-4E14-A2EA-65F1E1ECD419}"/>
    <dataValidation allowBlank="1" showInputMessage="1" showErrorMessage="1" prompt="Enter the motor's electrical frequency in Hz" sqref="B9" xr:uid="{5E3EF6A7-1670-4009-89FF-06D14258FCF3}"/>
    <dataValidation allowBlank="1" showInputMessage="1" showErrorMessage="1" prompt="Enter the operating ambient temperature" sqref="AB29" xr:uid="{162B8657-8005-4B84-8BAF-D9A857E70E8A}"/>
    <dataValidation type="decimal" allowBlank="1" showInputMessage="1" showErrorMessage="1" error="This voltage is outside the operating range of the DRV8316" prompt="Enter a motor supply voltage between 3 to 20 volts" sqref="B3" xr:uid="{7457F5FD-4260-40AB-88B4-ED443BED18DF}">
      <formula1>3</formula1>
      <formula2>20</formula2>
    </dataValidation>
    <dataValidation type="list" allowBlank="1" showInputMessage="1" showErrorMessage="1" prompt="Select copper thickness of internal layers if more than 2 layer PCB (oz)" sqref="AB31" xr:uid="{AB91B368-9469-4C0D-BBD2-43C70863E6C1}">
      <formula1>$M$24:$M$25</formula1>
    </dataValidation>
    <dataValidation type="list" allowBlank="1" showInputMessage="1" showErrorMessage="1" prompt="Select copper thickness of top/bottom layers (oz)" sqref="AB31 AJ23" xr:uid="{72D5349A-F85E-4A29-A77E-BE3F3C326E22}">
      <formula1>$L$24:$L$25</formula1>
    </dataValidation>
    <dataValidation type="decimal" allowBlank="1" showInputMessage="1" showErrorMessage="1" error="This current is outside the operating range of the DRV8316" prompt="Enter an RMS current between 0 and 4.08 amps" sqref="B4" xr:uid="{636D3675-EEB1-4B6A-A9F0-21C95CB4EE5E}">
      <formula1>0</formula1>
      <formula2>4.08</formula2>
    </dataValidation>
    <dataValidation type="list" allowBlank="1" showInputMessage="1" showErrorMessage="1" prompt="Select a dead time setting if using DRV8311P. If using DRV8311H, select &quot;0&quot;." sqref="B12" xr:uid="{013F0F8E-3FD5-4743-AC13-40E1929A42E4}">
      <formula1>$Q$24:$Q$31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C55E-86C7-4C3C-8204-0E81B120133C}">
  <dimension ref="A1:AL88"/>
  <sheetViews>
    <sheetView topLeftCell="A9" zoomScaleNormal="100" workbookViewId="0">
      <selection activeCell="A16" sqref="A16:XFD1048576"/>
    </sheetView>
  </sheetViews>
  <sheetFormatPr defaultColWidth="0" defaultRowHeight="14.4" zeroHeight="1" x14ac:dyDescent="0.55000000000000004"/>
  <cols>
    <col min="1" max="1" width="56.4726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/>
    <col min="8" max="8" width="28.5234375" hidden="1"/>
    <col min="9" max="9" width="24.5234375" hidden="1"/>
    <col min="10" max="10" width="10.47265625" hidden="1"/>
    <col min="11" max="14" width="10.5234375" hidden="1"/>
    <col min="15" max="15" width="14.5234375" hidden="1"/>
    <col min="16" max="16" width="13.7890625" hidden="1"/>
    <col min="17" max="17" width="8.5234375" hidden="1"/>
    <col min="18" max="18" width="14.5234375" hidden="1"/>
    <col min="19" max="19" width="19.47265625" hidden="1"/>
    <col min="20" max="20" width="12.47265625" hidden="1"/>
    <col min="21" max="21" width="19.7890625" hidden="1"/>
    <col min="22" max="22" width="19.15625" hidden="1"/>
    <col min="23" max="23" width="8.83984375" hidden="1"/>
    <col min="24" max="24" width="31.47265625" hidden="1"/>
    <col min="25" max="25" width="12.47265625" hidden="1"/>
    <col min="26" max="26" width="15.47265625" hidden="1"/>
    <col min="27" max="27" width="33" hidden="1"/>
    <col min="28" max="28" width="15.5234375" hidden="1"/>
    <col min="29" max="29" width="14.5234375" hidden="1"/>
    <col min="30" max="30" width="14.47265625" hidden="1"/>
    <col min="31" max="31" width="12.47265625" hidden="1"/>
    <col min="32" max="32" width="15.15625" hidden="1"/>
    <col min="33" max="33" width="13.47265625" hidden="1"/>
    <col min="34" max="34" width="15.47265625" hidden="1"/>
    <col min="35" max="35" width="13.47265625" style="10" hidden="1"/>
    <col min="36" max="36" width="10.47265625" style="10" hidden="1"/>
    <col min="37" max="37" width="16.7890625" style="10" hidden="1"/>
    <col min="38" max="38" width="16.5234375" style="10" hidden="1"/>
    <col min="39" max="16384" width="8.83984375" hidden="1"/>
  </cols>
  <sheetData>
    <row r="1" spans="1:38" ht="14.7" thickBot="1" x14ac:dyDescent="0.6">
      <c r="A1" s="142" t="s">
        <v>179</v>
      </c>
      <c r="B1" s="185" t="s">
        <v>162</v>
      </c>
      <c r="C1" s="185"/>
      <c r="D1" s="185"/>
      <c r="E1" s="185"/>
      <c r="F1" s="185"/>
    </row>
    <row r="2" spans="1:38" ht="14.5" customHeight="1" thickBot="1" x14ac:dyDescent="0.6">
      <c r="A2" s="106" t="s">
        <v>2</v>
      </c>
      <c r="B2" s="107" t="s">
        <v>163</v>
      </c>
      <c r="C2" s="108" t="s">
        <v>4</v>
      </c>
      <c r="D2" s="109" t="s">
        <v>5</v>
      </c>
      <c r="E2" s="110" t="s">
        <v>6</v>
      </c>
      <c r="F2" s="110" t="s">
        <v>4</v>
      </c>
    </row>
    <row r="3" spans="1:38" ht="14.5" customHeight="1" thickBot="1" x14ac:dyDescent="0.6">
      <c r="A3" s="86" t="s">
        <v>7</v>
      </c>
      <c r="B3" s="70">
        <v>12</v>
      </c>
      <c r="C3" s="112" t="s">
        <v>8</v>
      </c>
      <c r="D3" s="66" t="s">
        <v>9</v>
      </c>
      <c r="E3" s="113">
        <f>ROUND(IF(V21=-1,"n/a",$AI$19),2)</f>
        <v>0.67</v>
      </c>
      <c r="F3" s="112" t="s">
        <v>10</v>
      </c>
    </row>
    <row r="4" spans="1:38" ht="14.5" customHeight="1" thickBot="1" x14ac:dyDescent="0.6">
      <c r="A4" s="88" t="s">
        <v>140</v>
      </c>
      <c r="B4" s="71">
        <v>1</v>
      </c>
      <c r="C4" s="115" t="s">
        <v>12</v>
      </c>
      <c r="D4" s="66" t="s">
        <v>13</v>
      </c>
      <c r="E4" s="3">
        <f>ROUND(IF(V21=-1,"n/a",$AI$20),2)</f>
        <v>60.43</v>
      </c>
      <c r="F4" s="112" t="s">
        <v>84</v>
      </c>
    </row>
    <row r="5" spans="1:38" ht="14.5" customHeight="1" x14ac:dyDescent="0.55000000000000004">
      <c r="A5" s="116" t="s">
        <v>141</v>
      </c>
      <c r="B5" s="114" t="s">
        <v>145</v>
      </c>
      <c r="C5" s="115"/>
      <c r="D5" s="117"/>
      <c r="E5" s="117"/>
      <c r="F5" s="117"/>
    </row>
    <row r="6" spans="1:38" ht="14.5" customHeight="1" x14ac:dyDescent="0.55000000000000004">
      <c r="A6" s="86" t="s">
        <v>24</v>
      </c>
      <c r="B6" s="70">
        <v>20</v>
      </c>
      <c r="C6" s="112" t="s">
        <v>25</v>
      </c>
    </row>
    <row r="7" spans="1:38" ht="14.5" customHeight="1" x14ac:dyDescent="0.55000000000000004">
      <c r="A7" s="92" t="s">
        <v>26</v>
      </c>
      <c r="B7" s="114">
        <v>230</v>
      </c>
      <c r="C7" s="115" t="s">
        <v>27</v>
      </c>
    </row>
    <row r="8" spans="1:38" ht="14.5" customHeight="1" x14ac:dyDescent="0.55000000000000004">
      <c r="A8" s="86" t="s">
        <v>164</v>
      </c>
      <c r="B8" s="71">
        <v>600</v>
      </c>
      <c r="C8" s="78" t="s">
        <v>165</v>
      </c>
    </row>
    <row r="9" spans="1:38" ht="14.5" customHeight="1" x14ac:dyDescent="0.55000000000000004">
      <c r="A9" s="93" t="s">
        <v>28</v>
      </c>
      <c r="B9" s="72">
        <v>10</v>
      </c>
      <c r="C9" s="78" t="s">
        <v>29</v>
      </c>
      <c r="X9" s="25"/>
      <c r="Y9" s="3"/>
      <c r="Z9" s="3"/>
    </row>
    <row r="10" spans="1:38" ht="14.5" customHeight="1" thickBot="1" x14ac:dyDescent="0.6">
      <c r="A10" s="118" t="s">
        <v>30</v>
      </c>
      <c r="B10" s="73">
        <v>25</v>
      </c>
      <c r="C10" s="119" t="s">
        <v>14</v>
      </c>
      <c r="X10" s="25"/>
      <c r="Y10" s="45"/>
      <c r="Z10" s="3"/>
      <c r="AB10" s="24"/>
      <c r="AC10" s="3"/>
      <c r="AD10" s="5"/>
    </row>
    <row r="11" spans="1:38" ht="14.5" customHeight="1" thickBot="1" x14ac:dyDescent="0.6">
      <c r="A11" s="120" t="s">
        <v>31</v>
      </c>
      <c r="B11" s="107"/>
      <c r="C11" s="108"/>
    </row>
    <row r="12" spans="1:38" ht="34.450000000000003" customHeight="1" x14ac:dyDescent="0.55000000000000004">
      <c r="A12" s="121" t="s">
        <v>32</v>
      </c>
      <c r="B12" s="122">
        <v>4</v>
      </c>
      <c r="C12" s="112" t="s">
        <v>33</v>
      </c>
    </row>
    <row r="13" spans="1:38" ht="14.5" customHeight="1" x14ac:dyDescent="0.55000000000000004">
      <c r="A13" s="123" t="s">
        <v>34</v>
      </c>
      <c r="B13" s="114">
        <v>2</v>
      </c>
      <c r="C13" s="124" t="s">
        <v>35</v>
      </c>
      <c r="X13" s="51" t="s">
        <v>39</v>
      </c>
      <c r="Y13" s="51" t="s">
        <v>6</v>
      </c>
      <c r="Z13" s="51" t="s">
        <v>4</v>
      </c>
    </row>
    <row r="14" spans="1:38" s="1" customFormat="1" ht="25.5" customHeight="1" thickBot="1" x14ac:dyDescent="0.6">
      <c r="A14" s="118" t="s">
        <v>36</v>
      </c>
      <c r="B14" s="125">
        <v>16</v>
      </c>
      <c r="C14" s="126" t="s">
        <v>37</v>
      </c>
      <c r="D14" s="5"/>
      <c r="E14" s="5"/>
      <c r="F14"/>
      <c r="X14" s="25" t="s">
        <v>48</v>
      </c>
      <c r="Y14" s="3">
        <v>1.4829000000000001</v>
      </c>
      <c r="Z14" s="3" t="s">
        <v>12</v>
      </c>
      <c r="AA14"/>
      <c r="AB14"/>
      <c r="AI14" s="11"/>
      <c r="AJ14" s="11"/>
      <c r="AK14" s="11"/>
      <c r="AL14" s="11"/>
    </row>
    <row r="15" spans="1:38" ht="46.5" customHeight="1" thickBot="1" x14ac:dyDescent="0.6">
      <c r="A15" s="186" t="s">
        <v>180</v>
      </c>
      <c r="B15" s="187"/>
      <c r="C15" s="188"/>
      <c r="D15" s="1"/>
      <c r="E15" s="1"/>
      <c r="F15" s="1"/>
      <c r="X15" s="25" t="s">
        <v>57</v>
      </c>
      <c r="Y15" s="3">
        <v>0.99</v>
      </c>
      <c r="Z15" s="3"/>
    </row>
    <row r="16" spans="1:38" ht="29.1" hidden="1" thickBot="1" x14ac:dyDescent="0.6">
      <c r="H16" s="6" t="s">
        <v>32</v>
      </c>
      <c r="I16" s="6" t="s">
        <v>40</v>
      </c>
      <c r="J16" s="6" t="s">
        <v>41</v>
      </c>
      <c r="K16" s="6" t="s">
        <v>36</v>
      </c>
      <c r="L16" s="6" t="s">
        <v>42</v>
      </c>
      <c r="M16" s="8" t="s">
        <v>167</v>
      </c>
      <c r="N16" s="8" t="s">
        <v>168</v>
      </c>
      <c r="O16" s="6" t="s">
        <v>44</v>
      </c>
      <c r="P16" s="6" t="s">
        <v>144</v>
      </c>
      <c r="Q16" s="8"/>
      <c r="S16" s="189" t="s">
        <v>47</v>
      </c>
      <c r="T16" s="190"/>
      <c r="U16" s="190"/>
      <c r="V16" s="191"/>
      <c r="X16" s="25" t="s">
        <v>169</v>
      </c>
      <c r="Y16" s="3">
        <v>11</v>
      </c>
      <c r="Z16" s="3" t="s">
        <v>29</v>
      </c>
      <c r="AA16" t="s">
        <v>170</v>
      </c>
      <c r="AD16" s="192" t="s">
        <v>49</v>
      </c>
      <c r="AE16" s="193"/>
      <c r="AF16" s="192" t="s">
        <v>50</v>
      </c>
      <c r="AG16" s="193"/>
      <c r="AH16" s="192" t="s">
        <v>51</v>
      </c>
      <c r="AI16" s="193"/>
    </row>
    <row r="17" spans="1:38" ht="14.7" hidden="1" thickBot="1" x14ac:dyDescent="0.6">
      <c r="H17" s="6">
        <v>2</v>
      </c>
      <c r="I17" s="6">
        <v>1</v>
      </c>
      <c r="J17" s="6">
        <v>1</v>
      </c>
      <c r="K17" s="26">
        <v>4</v>
      </c>
      <c r="L17" s="6">
        <v>35</v>
      </c>
      <c r="M17" s="6">
        <v>0.5</v>
      </c>
      <c r="N17" s="6">
        <v>0</v>
      </c>
      <c r="O17" s="6">
        <v>10</v>
      </c>
      <c r="P17" s="6" t="s">
        <v>145</v>
      </c>
      <c r="Q17" s="8"/>
      <c r="S17" s="17" t="s">
        <v>53</v>
      </c>
      <c r="T17" s="18" t="s">
        <v>54</v>
      </c>
      <c r="U17" s="18" t="s">
        <v>55</v>
      </c>
      <c r="V17" s="19" t="s">
        <v>56</v>
      </c>
      <c r="X17" s="25" t="s">
        <v>169</v>
      </c>
      <c r="Y17" s="45">
        <v>11</v>
      </c>
      <c r="Z17" s="3" t="s">
        <v>29</v>
      </c>
      <c r="AA17" t="s">
        <v>170</v>
      </c>
      <c r="AD17" s="29" t="s">
        <v>58</v>
      </c>
      <c r="AE17">
        <f>IF(B3&lt;6, $Y$18, $Y$20)+($AB$20*(B10-25))</f>
        <v>105</v>
      </c>
      <c r="AF17" s="29" t="s">
        <v>59</v>
      </c>
      <c r="AG17">
        <f>IF(B3&lt;6, $Y$18, $Y$20)+($AB$20*(AE20-25))</f>
        <v>120.71688</v>
      </c>
      <c r="AH17" s="29" t="s">
        <v>60</v>
      </c>
      <c r="AI17">
        <f>IF(B3&lt;6, $Y$18, $Y$20)+($AB$20*(AG20-25))</f>
        <v>121.903536</v>
      </c>
    </row>
    <row r="18" spans="1:38" ht="14.7" hidden="1" thickBot="1" x14ac:dyDescent="0.6">
      <c r="H18" s="6">
        <v>4</v>
      </c>
      <c r="I18" s="6">
        <v>2</v>
      </c>
      <c r="J18" s="6">
        <v>2</v>
      </c>
      <c r="K18" s="26">
        <v>8</v>
      </c>
      <c r="L18" s="6">
        <v>75</v>
      </c>
      <c r="M18" s="6">
        <v>0.45</v>
      </c>
      <c r="N18" s="6">
        <f>N17+200</f>
        <v>200</v>
      </c>
      <c r="O18" s="6">
        <f>O17+5</f>
        <v>15</v>
      </c>
      <c r="P18" s="6" t="s">
        <v>142</v>
      </c>
      <c r="Q18" s="8"/>
      <c r="S18" s="14">
        <f>B13</f>
        <v>2</v>
      </c>
      <c r="T18" s="12">
        <f>IF(B12&gt;2,Y24,"")</f>
        <v>1</v>
      </c>
      <c r="U18" s="12">
        <f>IF(B12&gt;2,Y24,"")</f>
        <v>1</v>
      </c>
      <c r="V18" s="15">
        <f>B13</f>
        <v>2</v>
      </c>
      <c r="X18" s="25" t="s">
        <v>171</v>
      </c>
      <c r="Y18" s="3">
        <v>150</v>
      </c>
      <c r="Z18" s="3" t="s">
        <v>78</v>
      </c>
      <c r="AD18" s="30" t="s">
        <v>63</v>
      </c>
      <c r="AE18" s="9">
        <f>ROUND(3*$B$4*$B$4*AE17/(1000),3)</f>
        <v>0.315</v>
      </c>
      <c r="AF18" s="30" t="s">
        <v>64</v>
      </c>
      <c r="AG18" s="9">
        <f>ROUND(3*$B$4*$B$4*AG17/(1000),3)</f>
        <v>0.36199999999999999</v>
      </c>
      <c r="AH18" s="30" t="s">
        <v>65</v>
      </c>
      <c r="AI18" s="9">
        <f>ROUND(3*$B$4*$B$4*AI17/(1000),3)</f>
        <v>0.36599999999999999</v>
      </c>
    </row>
    <row r="19" spans="1:38" ht="14.7" hidden="1" thickBot="1" x14ac:dyDescent="0.6">
      <c r="H19" s="6"/>
      <c r="I19" s="6">
        <v>3</v>
      </c>
      <c r="J19" s="6"/>
      <c r="K19" s="26">
        <v>16</v>
      </c>
      <c r="L19" s="6">
        <v>180</v>
      </c>
      <c r="M19" s="6">
        <v>0.42499999999999999</v>
      </c>
      <c r="N19" s="6">
        <f t="shared" ref="N19:N24" si="0">N18+200</f>
        <v>400</v>
      </c>
      <c r="O19" s="6">
        <f t="shared" ref="O19:O55" si="1">O18+5</f>
        <v>20</v>
      </c>
      <c r="P19" s="6"/>
      <c r="Q19" s="8"/>
      <c r="R19" s="8"/>
      <c r="S19" s="179" t="s">
        <v>66</v>
      </c>
      <c r="T19" s="180"/>
      <c r="U19" s="181"/>
      <c r="V19" s="33" t="s">
        <v>67</v>
      </c>
      <c r="X19" s="28" t="s">
        <v>172</v>
      </c>
      <c r="Y19" s="8">
        <v>225</v>
      </c>
      <c r="Z19" s="8" t="s">
        <v>78</v>
      </c>
      <c r="AD19" s="30" t="s">
        <v>70</v>
      </c>
      <c r="AE19" s="9">
        <f>AE18+$AB$21</f>
        <v>0.62250000000000005</v>
      </c>
      <c r="AF19" s="30" t="s">
        <v>71</v>
      </c>
      <c r="AG19" s="9">
        <f>AG18+$AB$21</f>
        <v>0.66949999999999998</v>
      </c>
      <c r="AH19" s="31" t="s">
        <v>72</v>
      </c>
      <c r="AI19" s="32">
        <f>AI18+$AB$21</f>
        <v>0.67349999999999999</v>
      </c>
    </row>
    <row r="20" spans="1:38" ht="14.7" hidden="1" thickBot="1" x14ac:dyDescent="0.6">
      <c r="H20" s="6"/>
      <c r="I20" s="6"/>
      <c r="J20" s="6"/>
      <c r="K20" s="26">
        <v>32</v>
      </c>
      <c r="L20" s="6">
        <v>230</v>
      </c>
      <c r="M20" s="6">
        <v>0.42499999999999999</v>
      </c>
      <c r="N20" s="6">
        <f t="shared" si="0"/>
        <v>600</v>
      </c>
      <c r="O20" s="6">
        <f t="shared" si="1"/>
        <v>25</v>
      </c>
      <c r="P20" s="6"/>
      <c r="Q20" s="8"/>
      <c r="R20" s="8"/>
      <c r="S20" s="20" t="s">
        <v>73</v>
      </c>
      <c r="T20" s="21" t="s">
        <v>74</v>
      </c>
      <c r="U20" s="21" t="s">
        <v>75</v>
      </c>
      <c r="V20" s="34" t="s">
        <v>76</v>
      </c>
      <c r="X20" s="25" t="s">
        <v>173</v>
      </c>
      <c r="Y20" s="3">
        <v>105</v>
      </c>
      <c r="Z20" s="3" t="s">
        <v>78</v>
      </c>
      <c r="AA20" t="s">
        <v>85</v>
      </c>
      <c r="AB20">
        <f>IF(AND(B3&gt;2.999,B3&lt;6.001),(Y19-Y18)/(150-25),(Y21-Y20)/(150-25))</f>
        <v>0.48</v>
      </c>
      <c r="AD20" s="30" t="s">
        <v>79</v>
      </c>
      <c r="AE20" s="9">
        <f>$B$10+(AE19*$Y$25)</f>
        <v>57.743500000000004</v>
      </c>
      <c r="AF20" s="30" t="s">
        <v>80</v>
      </c>
      <c r="AG20" s="9">
        <f>$B$10+(AG19*$Y$25)</f>
        <v>60.215699999999998</v>
      </c>
      <c r="AH20" s="31" t="s">
        <v>81</v>
      </c>
      <c r="AI20" s="32">
        <f>$B$10+(AI19*$Y$25)</f>
        <v>60.426099999999998</v>
      </c>
    </row>
    <row r="21" spans="1:38" ht="43.2" hidden="1" x14ac:dyDescent="0.55000000000000004">
      <c r="A21" s="3"/>
      <c r="H21" s="6"/>
      <c r="I21" s="6"/>
      <c r="J21" s="6"/>
      <c r="K21" s="26">
        <v>64</v>
      </c>
      <c r="L21" s="6"/>
      <c r="M21" s="6"/>
      <c r="N21" s="6">
        <f t="shared" si="0"/>
        <v>800</v>
      </c>
      <c r="O21" s="6">
        <f t="shared" si="1"/>
        <v>30</v>
      </c>
      <c r="P21" s="6"/>
      <c r="Q21" s="8"/>
      <c r="R21" s="8"/>
      <c r="S21" s="14" t="str">
        <f>_xlfn.TEXTJOIN(",",TRUE,S18:V18)</f>
        <v>2,1,1,2</v>
      </c>
      <c r="T21" s="12">
        <f>B14</f>
        <v>16</v>
      </c>
      <c r="U21" s="12"/>
      <c r="V21" s="15">
        <f>VLOOKUP(T21&amp;S21,R24:U48,4,FALSE)</f>
        <v>52.6</v>
      </c>
      <c r="X21" s="28" t="s">
        <v>174</v>
      </c>
      <c r="Y21" s="8">
        <v>165</v>
      </c>
      <c r="Z21" s="8" t="s">
        <v>78</v>
      </c>
      <c r="AA21" s="27" t="s">
        <v>146</v>
      </c>
      <c r="AB21">
        <f>Y34+Y38+Y39+Y41+Y42+Y43</f>
        <v>0.3075</v>
      </c>
    </row>
    <row r="22" spans="1:38" hidden="1" x14ac:dyDescent="0.55000000000000004">
      <c r="A22" s="3"/>
      <c r="H22" s="5"/>
      <c r="I22" s="5"/>
      <c r="N22" s="6">
        <f t="shared" si="0"/>
        <v>1000</v>
      </c>
      <c r="O22" s="6">
        <f t="shared" si="1"/>
        <v>35</v>
      </c>
      <c r="S22" s="182" t="s">
        <v>83</v>
      </c>
      <c r="T22" s="183"/>
      <c r="U22" s="183"/>
      <c r="V22" s="184"/>
      <c r="X22" s="28" t="s">
        <v>30</v>
      </c>
      <c r="Y22" s="8">
        <v>25</v>
      </c>
      <c r="Z22" s="8" t="s">
        <v>84</v>
      </c>
    </row>
    <row r="23" spans="1:38" hidden="1" x14ac:dyDescent="0.55000000000000004">
      <c r="A23" s="3"/>
      <c r="H23" s="5"/>
      <c r="I23" s="5"/>
      <c r="N23" s="6">
        <f t="shared" si="0"/>
        <v>1200</v>
      </c>
      <c r="O23" s="6">
        <f t="shared" si="1"/>
        <v>40</v>
      </c>
      <c r="R23" s="4" t="s">
        <v>86</v>
      </c>
      <c r="S23" s="127" t="s">
        <v>87</v>
      </c>
      <c r="T23" s="128" t="s">
        <v>73</v>
      </c>
      <c r="U23" s="129" t="s">
        <v>88</v>
      </c>
      <c r="V23" s="22"/>
      <c r="X23" s="28" t="s">
        <v>89</v>
      </c>
      <c r="Y23" s="8">
        <v>1</v>
      </c>
      <c r="Z23" s="8" t="s">
        <v>90</v>
      </c>
    </row>
    <row r="24" spans="1:38" hidden="1" x14ac:dyDescent="0.55000000000000004">
      <c r="A24" s="24"/>
      <c r="B24" s="24"/>
      <c r="C24" s="24"/>
      <c r="H24" s="5"/>
      <c r="I24" s="5"/>
      <c r="N24" s="6">
        <f t="shared" si="0"/>
        <v>1400</v>
      </c>
      <c r="O24" s="6">
        <f t="shared" si="1"/>
        <v>45</v>
      </c>
      <c r="R24" s="4" t="str">
        <f t="shared" ref="R24:R48" si="2">S24&amp;T24</f>
        <v>41,1</v>
      </c>
      <c r="S24" s="14">
        <v>4</v>
      </c>
      <c r="T24" s="12" t="s">
        <v>92</v>
      </c>
      <c r="U24" s="143">
        <v>103.7</v>
      </c>
      <c r="V24" s="13"/>
      <c r="X24" s="28" t="str">
        <f>IF(B12&gt;2,"Internal Layers Cu Thickness","")</f>
        <v>Internal Layers Cu Thickness</v>
      </c>
      <c r="Y24" s="8">
        <v>1</v>
      </c>
      <c r="Z24" s="8" t="str">
        <f>IF(B12&gt;2,"oz","")</f>
        <v>oz</v>
      </c>
    </row>
    <row r="25" spans="1:38" hidden="1" x14ac:dyDescent="0.55000000000000004">
      <c r="A25" s="3"/>
      <c r="H25" s="5"/>
      <c r="I25" s="5"/>
      <c r="O25" s="6">
        <f t="shared" si="1"/>
        <v>50</v>
      </c>
      <c r="R25" s="4" t="str">
        <f t="shared" si="2"/>
        <v>42,2</v>
      </c>
      <c r="S25" s="14">
        <v>4</v>
      </c>
      <c r="T25" s="12" t="s">
        <v>93</v>
      </c>
      <c r="U25" s="144">
        <v>93.9</v>
      </c>
      <c r="V25" s="15"/>
      <c r="X25" s="28" t="s">
        <v>94</v>
      </c>
      <c r="Y25" s="8">
        <f>V21</f>
        <v>52.6</v>
      </c>
      <c r="Z25" s="8" t="s">
        <v>95</v>
      </c>
    </row>
    <row r="26" spans="1:38" hidden="1" x14ac:dyDescent="0.55000000000000004">
      <c r="A26" s="23"/>
      <c r="H26" s="5"/>
      <c r="I26" s="5"/>
      <c r="O26" s="6">
        <f t="shared" si="1"/>
        <v>55</v>
      </c>
      <c r="R26" s="4" t="str">
        <f t="shared" si="2"/>
        <v>41,1,1,1</v>
      </c>
      <c r="S26" s="14">
        <v>4</v>
      </c>
      <c r="T26" s="12" t="s">
        <v>96</v>
      </c>
      <c r="U26" s="143">
        <v>82.7</v>
      </c>
      <c r="V26" s="15"/>
      <c r="X26" s="137" t="s">
        <v>39</v>
      </c>
      <c r="Y26" s="138" t="s">
        <v>6</v>
      </c>
      <c r="Z26" s="138" t="s">
        <v>4</v>
      </c>
    </row>
    <row r="27" spans="1:38" hidden="1" x14ac:dyDescent="0.55000000000000004">
      <c r="A27" s="3"/>
      <c r="H27" s="5"/>
      <c r="I27" s="5"/>
      <c r="O27" s="6">
        <f t="shared" si="1"/>
        <v>60</v>
      </c>
      <c r="R27" s="4" t="str">
        <f t="shared" si="2"/>
        <v>42,1,1,2</v>
      </c>
      <c r="S27" s="14">
        <v>4</v>
      </c>
      <c r="T27" s="12" t="s">
        <v>97</v>
      </c>
      <c r="U27" s="143">
        <v>79.599999999999994</v>
      </c>
      <c r="V27" s="15"/>
      <c r="X27" s="28" t="s">
        <v>98</v>
      </c>
      <c r="Y27" s="8">
        <f>ROUND((B3/SQRT(2))*Y15,2)</f>
        <v>8.4</v>
      </c>
      <c r="Z27" s="8" t="s">
        <v>8</v>
      </c>
    </row>
    <row r="28" spans="1:38" s="1" customFormat="1" hidden="1" x14ac:dyDescent="0.55000000000000004">
      <c r="A28" s="3"/>
      <c r="B28" s="3"/>
      <c r="C28" s="3"/>
      <c r="D28" s="5"/>
      <c r="E28" s="5"/>
      <c r="F28"/>
      <c r="H28" s="5"/>
      <c r="I28" s="5"/>
      <c r="J28"/>
      <c r="K28"/>
      <c r="L28"/>
      <c r="M28"/>
      <c r="N28"/>
      <c r="O28" s="6">
        <f t="shared" si="1"/>
        <v>65</v>
      </c>
      <c r="P28"/>
      <c r="Q28"/>
      <c r="R28" s="4" t="str">
        <f t="shared" si="2"/>
        <v>81,1</v>
      </c>
      <c r="S28" s="14">
        <v>8</v>
      </c>
      <c r="T28" s="12" t="s">
        <v>92</v>
      </c>
      <c r="U28" s="143">
        <v>88.5</v>
      </c>
      <c r="V28" s="15"/>
      <c r="W28"/>
      <c r="X28" s="28" t="s">
        <v>99</v>
      </c>
      <c r="Y28" s="8">
        <f>ROUND(Y27/1.41,2)</f>
        <v>5.96</v>
      </c>
      <c r="Z28" s="8" t="s">
        <v>8</v>
      </c>
      <c r="AA28"/>
      <c r="AB28"/>
      <c r="AI28" s="11"/>
      <c r="AJ28" s="11"/>
      <c r="AK28" s="11"/>
      <c r="AL28" s="11"/>
    </row>
    <row r="29" spans="1:38" hidden="1" x14ac:dyDescent="0.55000000000000004">
      <c r="A29" s="1"/>
      <c r="B29" s="1"/>
      <c r="C29" s="1"/>
      <c r="D29" s="6"/>
      <c r="E29" s="6"/>
      <c r="F29" s="1"/>
      <c r="H29" s="5"/>
      <c r="I29" s="5"/>
      <c r="O29" s="6">
        <f t="shared" si="1"/>
        <v>70</v>
      </c>
      <c r="R29" s="4" t="str">
        <f t="shared" si="2"/>
        <v>82,2</v>
      </c>
      <c r="S29" s="14">
        <v>8</v>
      </c>
      <c r="T29" s="12" t="s">
        <v>93</v>
      </c>
      <c r="U29" s="144">
        <v>77.2</v>
      </c>
      <c r="V29" s="15"/>
      <c r="X29" s="28" t="s">
        <v>100</v>
      </c>
      <c r="Y29" s="8">
        <f>B4*1.414</f>
        <v>1.4139999999999999</v>
      </c>
      <c r="Z29" s="8" t="s">
        <v>12</v>
      </c>
    </row>
    <row r="30" spans="1:38" hidden="1" x14ac:dyDescent="0.55000000000000004">
      <c r="A30" s="3"/>
      <c r="H30" s="5"/>
      <c r="I30" s="5"/>
      <c r="O30" s="6">
        <f t="shared" si="1"/>
        <v>75</v>
      </c>
      <c r="R30" s="4" t="str">
        <f t="shared" si="2"/>
        <v>81,1,1,1</v>
      </c>
      <c r="S30" s="14">
        <v>8</v>
      </c>
      <c r="T30" s="12" t="s">
        <v>96</v>
      </c>
      <c r="U30" s="143">
        <v>66.900000000000006</v>
      </c>
      <c r="V30" s="15"/>
      <c r="X30" s="28" t="s">
        <v>101</v>
      </c>
      <c r="Y30" s="8">
        <f>B3/B7</f>
        <v>5.2173913043478258E-2</v>
      </c>
      <c r="Z30" s="8" t="s">
        <v>21</v>
      </c>
    </row>
    <row r="31" spans="1:38" ht="28.8" hidden="1" x14ac:dyDescent="0.55000000000000004">
      <c r="A31" s="3"/>
      <c r="G31" s="5"/>
      <c r="H31" s="5"/>
      <c r="O31" s="6">
        <f t="shared" si="1"/>
        <v>80</v>
      </c>
      <c r="R31" s="4" t="str">
        <f t="shared" si="2"/>
        <v>82,1,1,2</v>
      </c>
      <c r="S31" s="14">
        <v>8</v>
      </c>
      <c r="T31" s="12" t="s">
        <v>97</v>
      </c>
      <c r="U31" s="143">
        <v>63.5</v>
      </c>
      <c r="V31" s="15"/>
      <c r="X31" s="25" t="s">
        <v>147</v>
      </c>
      <c r="Y31" s="3">
        <f>VLOOKUP(B7,L17:M20,2,FALSE)</f>
        <v>0.42499999999999999</v>
      </c>
      <c r="Z31" s="3" t="s">
        <v>21</v>
      </c>
    </row>
    <row r="32" spans="1:38" ht="28.8" hidden="1" x14ac:dyDescent="0.55000000000000004">
      <c r="A32" s="3"/>
      <c r="G32" s="5"/>
      <c r="H32" s="5"/>
      <c r="O32" s="6">
        <f t="shared" si="1"/>
        <v>85</v>
      </c>
      <c r="R32" s="4" t="str">
        <f t="shared" si="2"/>
        <v>161,1</v>
      </c>
      <c r="S32" s="14">
        <v>16</v>
      </c>
      <c r="T32" s="12" t="s">
        <v>92</v>
      </c>
      <c r="U32" s="143">
        <v>78.900000000000006</v>
      </c>
      <c r="V32" s="15"/>
      <c r="X32" s="25" t="s">
        <v>176</v>
      </c>
      <c r="Y32" s="5">
        <f>IF(Y31&gt;B8/1000,Y31,B8/1000)</f>
        <v>0.6</v>
      </c>
      <c r="Z32" s="3" t="s">
        <v>21</v>
      </c>
    </row>
    <row r="33" spans="1:34" hidden="1" x14ac:dyDescent="0.55000000000000004">
      <c r="A33" s="3"/>
      <c r="G33" s="5"/>
      <c r="H33" s="5"/>
      <c r="O33" s="6">
        <f t="shared" si="1"/>
        <v>90</v>
      </c>
      <c r="R33" s="4" t="str">
        <f t="shared" si="2"/>
        <v>162,2</v>
      </c>
      <c r="S33" s="14">
        <v>16</v>
      </c>
      <c r="T33" s="12" t="s">
        <v>93</v>
      </c>
      <c r="U33" s="144">
        <v>66.3</v>
      </c>
      <c r="V33" s="16"/>
      <c r="X33" s="135" t="s">
        <v>103</v>
      </c>
      <c r="Y33" s="136" t="s">
        <v>6</v>
      </c>
      <c r="Z33" s="136" t="s">
        <v>4</v>
      </c>
    </row>
    <row r="34" spans="1:34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/>
      <c r="N34"/>
      <c r="O34" s="6">
        <f t="shared" si="1"/>
        <v>95</v>
      </c>
      <c r="P34"/>
      <c r="Q34"/>
      <c r="R34" s="4" t="str">
        <f t="shared" si="2"/>
        <v>161,1,1,1</v>
      </c>
      <c r="S34" s="14">
        <v>16</v>
      </c>
      <c r="T34" s="12" t="s">
        <v>96</v>
      </c>
      <c r="U34" s="143">
        <v>56.3</v>
      </c>
      <c r="V34" s="15"/>
      <c r="W34"/>
      <c r="X34" s="28" t="s">
        <v>104</v>
      </c>
      <c r="Y34" s="140">
        <f>B3*IF(B3&gt;6.01,Y17,Y16)/1000</f>
        <v>0.13200000000000001</v>
      </c>
      <c r="Z34" s="8" t="s">
        <v>10</v>
      </c>
      <c r="AA34"/>
      <c r="AB34"/>
      <c r="AC34"/>
      <c r="AD34"/>
      <c r="AE34"/>
      <c r="AF34"/>
      <c r="AG34"/>
      <c r="AH34"/>
    </row>
    <row r="35" spans="1:34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/>
      <c r="N35"/>
      <c r="O35" s="6">
        <f t="shared" si="1"/>
        <v>100</v>
      </c>
      <c r="P35"/>
      <c r="Q35"/>
      <c r="R35" s="4" t="str">
        <f t="shared" si="2"/>
        <v>162,1,1,2</v>
      </c>
      <c r="S35" s="14">
        <v>16</v>
      </c>
      <c r="T35" s="12" t="s">
        <v>97</v>
      </c>
      <c r="U35" s="143">
        <v>52.6</v>
      </c>
      <c r="V35" s="15"/>
      <c r="W35"/>
      <c r="X35" s="28"/>
      <c r="Y35" s="8"/>
      <c r="Z35" s="8"/>
      <c r="AA35"/>
      <c r="AB35"/>
      <c r="AC35"/>
      <c r="AD35"/>
      <c r="AE35"/>
      <c r="AF35"/>
      <c r="AG35"/>
      <c r="AH35"/>
    </row>
    <row r="36" spans="1:34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/>
      <c r="N36"/>
      <c r="O36" s="6">
        <f t="shared" si="1"/>
        <v>105</v>
      </c>
      <c r="P36"/>
      <c r="Q36"/>
      <c r="R36" s="4" t="str">
        <f t="shared" si="2"/>
        <v>321,1</v>
      </c>
      <c r="S36" s="14">
        <v>32</v>
      </c>
      <c r="T36" s="12" t="s">
        <v>92</v>
      </c>
      <c r="U36" s="143">
        <v>73.8</v>
      </c>
      <c r="V36" s="15"/>
      <c r="W36"/>
      <c r="X36" s="135" t="s">
        <v>148</v>
      </c>
      <c r="Y36" s="136" t="s">
        <v>6</v>
      </c>
      <c r="Z36" s="136" t="s">
        <v>4</v>
      </c>
      <c r="AA36"/>
      <c r="AB36"/>
      <c r="AC36"/>
      <c r="AD36"/>
      <c r="AE36"/>
      <c r="AF36"/>
      <c r="AG36"/>
      <c r="AH36"/>
    </row>
    <row r="37" spans="1:34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/>
      <c r="N37"/>
      <c r="O37" s="6">
        <f t="shared" si="1"/>
        <v>110</v>
      </c>
      <c r="P37"/>
      <c r="Q37"/>
      <c r="R37" s="4" t="str">
        <f t="shared" si="2"/>
        <v>322,2</v>
      </c>
      <c r="S37" s="14">
        <v>32</v>
      </c>
      <c r="T37" s="12" t="s">
        <v>93</v>
      </c>
      <c r="U37" s="144">
        <v>60</v>
      </c>
      <c r="V37" s="15"/>
      <c r="W37"/>
      <c r="X37" s="28" t="s">
        <v>106</v>
      </c>
      <c r="Y37" s="8">
        <f>ROUND(3*B4*B4*AI17/(1000),3)</f>
        <v>0.36599999999999999</v>
      </c>
      <c r="Z37" s="8" t="s">
        <v>10</v>
      </c>
      <c r="AA37"/>
      <c r="AB37"/>
      <c r="AC37"/>
      <c r="AD37"/>
      <c r="AE37"/>
      <c r="AF37"/>
      <c r="AG37"/>
      <c r="AH37"/>
    </row>
    <row r="38" spans="1:34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/>
      <c r="O38" s="6">
        <f t="shared" si="1"/>
        <v>115</v>
      </c>
      <c r="P38"/>
      <c r="Q38"/>
      <c r="R38" s="4" t="str">
        <f t="shared" si="2"/>
        <v>321,1,1,1</v>
      </c>
      <c r="S38" s="14">
        <v>32</v>
      </c>
      <c r="T38" s="12" t="s">
        <v>96</v>
      </c>
      <c r="U38" s="143">
        <v>49.8</v>
      </c>
      <c r="V38" s="15"/>
      <c r="W38"/>
      <c r="X38" s="28" t="s">
        <v>108</v>
      </c>
      <c r="Y38" s="140">
        <f>ROUND(3*B3*B4*Y30*B6/(1000),3)*IF(B5="Discontinuous",2/3,1)</f>
        <v>3.7999999999999999E-2</v>
      </c>
      <c r="Z38" s="8" t="s">
        <v>10</v>
      </c>
      <c r="AA38"/>
      <c r="AB38"/>
      <c r="AC38"/>
      <c r="AD38"/>
      <c r="AE38"/>
      <c r="AF38"/>
      <c r="AG38"/>
      <c r="AH38"/>
    </row>
    <row r="39" spans="1:34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 s="6">
        <f t="shared" si="1"/>
        <v>120</v>
      </c>
      <c r="P39"/>
      <c r="Q39"/>
      <c r="R39" s="4" t="str">
        <f t="shared" si="2"/>
        <v>322,1,1,2</v>
      </c>
      <c r="S39" s="14">
        <v>32</v>
      </c>
      <c r="T39" s="12" t="s">
        <v>97</v>
      </c>
      <c r="U39" s="143">
        <v>45.9</v>
      </c>
      <c r="V39" s="15"/>
      <c r="W39"/>
      <c r="X39" s="28" t="s">
        <v>110</v>
      </c>
      <c r="Y39" s="140">
        <f>Y23*5*B6*0.000000001*1000</f>
        <v>1E-4</v>
      </c>
      <c r="Z39" s="8" t="s">
        <v>10</v>
      </c>
      <c r="AA39"/>
      <c r="AB39"/>
      <c r="AC39"/>
      <c r="AD39"/>
      <c r="AE39"/>
      <c r="AF39"/>
      <c r="AG39"/>
      <c r="AH39"/>
    </row>
    <row r="40" spans="1:34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 s="6">
        <f t="shared" si="1"/>
        <v>125</v>
      </c>
      <c r="P40"/>
      <c r="Q40"/>
      <c r="R40" s="4" t="str">
        <f t="shared" si="2"/>
        <v>641,1</v>
      </c>
      <c r="S40" s="14">
        <v>64</v>
      </c>
      <c r="T40" s="12" t="s">
        <v>92</v>
      </c>
      <c r="U40" s="143">
        <v>71.5</v>
      </c>
      <c r="V40" s="15"/>
      <c r="W40"/>
      <c r="X40" s="28" t="s">
        <v>149</v>
      </c>
      <c r="Y40" s="8">
        <f>Y37+Y38+Y39</f>
        <v>0.40409999999999996</v>
      </c>
      <c r="Z40" s="8" t="s">
        <v>10</v>
      </c>
      <c r="AA40"/>
      <c r="AB40"/>
      <c r="AC40"/>
      <c r="AD40"/>
      <c r="AE40"/>
      <c r="AF40"/>
      <c r="AG40"/>
      <c r="AH40"/>
    </row>
    <row r="41" spans="1:34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 s="6">
        <f t="shared" si="1"/>
        <v>130</v>
      </c>
      <c r="P41"/>
      <c r="Q41"/>
      <c r="R41" s="4" t="str">
        <f t="shared" si="2"/>
        <v>642,2</v>
      </c>
      <c r="S41" s="14">
        <v>64</v>
      </c>
      <c r="T41" s="12" t="s">
        <v>93</v>
      </c>
      <c r="U41" s="144">
        <v>56.6</v>
      </c>
      <c r="V41" s="15"/>
      <c r="W41"/>
      <c r="X41" s="11" t="s">
        <v>113</v>
      </c>
      <c r="Y41" s="139">
        <f>3*2*B4*Y32*B6*0.7/1000</f>
        <v>5.04E-2</v>
      </c>
      <c r="Z41" s="8" t="s">
        <v>10</v>
      </c>
      <c r="AA41"/>
      <c r="AB41"/>
      <c r="AC41"/>
      <c r="AD41"/>
      <c r="AE41"/>
      <c r="AF41"/>
      <c r="AG41"/>
      <c r="AH41"/>
    </row>
    <row r="42" spans="1:34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/>
      <c r="O42" s="6">
        <f t="shared" si="1"/>
        <v>135</v>
      </c>
      <c r="P42"/>
      <c r="Q42"/>
      <c r="R42" s="4" t="str">
        <f t="shared" si="2"/>
        <v>641,1,1,1</v>
      </c>
      <c r="S42" s="14">
        <v>64</v>
      </c>
      <c r="T42" s="12" t="s">
        <v>96</v>
      </c>
      <c r="U42" s="143">
        <v>46.2</v>
      </c>
      <c r="V42" s="15"/>
      <c r="W42"/>
      <c r="X42" s="28" t="s">
        <v>115</v>
      </c>
      <c r="Y42" s="139">
        <f>(B3-3.3)*B9*0.001</f>
        <v>8.7000000000000008E-2</v>
      </c>
      <c r="Z42" s="8" t="s">
        <v>10</v>
      </c>
      <c r="AA42"/>
      <c r="AB42"/>
      <c r="AC42"/>
      <c r="AD42"/>
      <c r="AE42"/>
      <c r="AF42"/>
      <c r="AG42"/>
      <c r="AH42"/>
    </row>
    <row r="43" spans="1:34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 s="6">
        <f t="shared" si="1"/>
        <v>140</v>
      </c>
      <c r="P43"/>
      <c r="Q43"/>
      <c r="R43" s="4" t="str">
        <f t="shared" si="2"/>
        <v>642,1,1,2</v>
      </c>
      <c r="S43" s="36">
        <v>64</v>
      </c>
      <c r="T43" s="37" t="s">
        <v>97</v>
      </c>
      <c r="U43" s="145">
        <v>42.1</v>
      </c>
      <c r="V43" s="38"/>
      <c r="W43"/>
      <c r="X43" s="11" t="s">
        <v>117</v>
      </c>
      <c r="Y43" s="139">
        <v>0</v>
      </c>
      <c r="Z43" s="5" t="s">
        <v>10</v>
      </c>
      <c r="AA43" s="8" t="s">
        <v>118</v>
      </c>
      <c r="AB43"/>
      <c r="AC43"/>
      <c r="AD43"/>
      <c r="AE43"/>
      <c r="AF43"/>
      <c r="AG43"/>
      <c r="AH43"/>
    </row>
    <row r="44" spans="1:34" s="10" customFormat="1" hidden="1" x14ac:dyDescent="0.55000000000000004">
      <c r="A44" s="3"/>
      <c r="B44" s="3"/>
      <c r="C44" s="3"/>
      <c r="D44" s="5"/>
      <c r="E44" s="5"/>
      <c r="F44"/>
      <c r="G44" s="5"/>
      <c r="H44" s="5"/>
      <c r="I44"/>
      <c r="J44"/>
      <c r="K44"/>
      <c r="L44"/>
      <c r="M44"/>
      <c r="N44"/>
      <c r="O44" s="6">
        <f t="shared" si="1"/>
        <v>145</v>
      </c>
      <c r="P44"/>
      <c r="Q44"/>
      <c r="R44" s="40" t="str">
        <f t="shared" si="2"/>
        <v>43,1,1,3</v>
      </c>
      <c r="S44" s="39">
        <v>4</v>
      </c>
      <c r="T44" s="12" t="s">
        <v>119</v>
      </c>
      <c r="U44" s="143">
        <v>77.8</v>
      </c>
      <c r="V44" s="41"/>
      <c r="W44"/>
      <c r="X44" s="28" t="s">
        <v>150</v>
      </c>
      <c r="Y44" s="8">
        <f>ROUND((3*Y28*B4)-E3,2)</f>
        <v>17.21</v>
      </c>
      <c r="Z44" s="8" t="s">
        <v>10</v>
      </c>
      <c r="AA44"/>
      <c r="AB44"/>
      <c r="AC44"/>
      <c r="AD44"/>
      <c r="AE44"/>
      <c r="AF44"/>
      <c r="AG44"/>
      <c r="AH44"/>
    </row>
    <row r="45" spans="1:34" s="10" customFormat="1" hidden="1" x14ac:dyDescent="0.55000000000000004">
      <c r="A45" s="24"/>
      <c r="B45" s="24"/>
      <c r="C45" s="24"/>
      <c r="D45" s="5"/>
      <c r="E45" s="5"/>
      <c r="F45" s="5"/>
      <c r="G45"/>
      <c r="H45"/>
      <c r="I45"/>
      <c r="J45"/>
      <c r="K45"/>
      <c r="L45"/>
      <c r="M45"/>
      <c r="N45"/>
      <c r="O45" s="6">
        <f t="shared" si="1"/>
        <v>150</v>
      </c>
      <c r="P45"/>
      <c r="Q45"/>
      <c r="R45" s="40" t="str">
        <f t="shared" si="2"/>
        <v>83,1,1,3</v>
      </c>
      <c r="S45" s="39">
        <v>8</v>
      </c>
      <c r="T45" s="12" t="s">
        <v>119</v>
      </c>
      <c r="U45" s="143">
        <v>61.6</v>
      </c>
      <c r="V45" s="41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10" customFormat="1" hidden="1" x14ac:dyDescent="0.55000000000000004">
      <c r="A46" s="25"/>
      <c r="B46" s="3"/>
      <c r="C46" s="3"/>
      <c r="D46" s="5"/>
      <c r="E46" s="3"/>
      <c r="F46" s="3"/>
      <c r="G46" s="5"/>
      <c r="H46"/>
      <c r="I46"/>
      <c r="J46"/>
      <c r="K46"/>
      <c r="L46"/>
      <c r="M46"/>
      <c r="N46"/>
      <c r="O46" s="6">
        <f t="shared" si="1"/>
        <v>155</v>
      </c>
      <c r="P46"/>
      <c r="Q46"/>
      <c r="R46" s="40" t="str">
        <f t="shared" si="2"/>
        <v>163,1,1,3</v>
      </c>
      <c r="S46" s="39">
        <v>16</v>
      </c>
      <c r="T46" s="12" t="s">
        <v>119</v>
      </c>
      <c r="U46" s="143">
        <v>50.5</v>
      </c>
      <c r="V46" s="41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10" customFormat="1" hidden="1" x14ac:dyDescent="0.55000000000000004">
      <c r="A47" s="3"/>
      <c r="B47" s="3"/>
      <c r="C47" s="3"/>
      <c r="D47" s="5"/>
      <c r="E47" s="5"/>
      <c r="F47" s="5"/>
      <c r="G47"/>
      <c r="H47"/>
      <c r="I47"/>
      <c r="J47"/>
      <c r="K47"/>
      <c r="L47"/>
      <c r="M47"/>
      <c r="N47"/>
      <c r="O47" s="6">
        <f t="shared" si="1"/>
        <v>160</v>
      </c>
      <c r="P47"/>
      <c r="Q47"/>
      <c r="R47" s="40" t="str">
        <f t="shared" si="2"/>
        <v>323,1,1,3</v>
      </c>
      <c r="S47" s="39">
        <v>32</v>
      </c>
      <c r="T47" s="12" t="s">
        <v>119</v>
      </c>
      <c r="U47" s="143">
        <v>43.6</v>
      </c>
      <c r="V47" s="41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10" customFormat="1" ht="14.7" hidden="1" thickBot="1" x14ac:dyDescent="0.6">
      <c r="A48" s="23"/>
      <c r="B48" s="3"/>
      <c r="C48" s="3"/>
      <c r="D48" s="5"/>
      <c r="E48" s="5"/>
      <c r="F48"/>
      <c r="G48"/>
      <c r="H48"/>
      <c r="I48"/>
      <c r="J48"/>
      <c r="K48"/>
      <c r="L48"/>
      <c r="M48"/>
      <c r="N48"/>
      <c r="O48" s="6">
        <f t="shared" si="1"/>
        <v>165</v>
      </c>
      <c r="P48"/>
      <c r="Q48"/>
      <c r="R48" s="40" t="str">
        <f t="shared" si="2"/>
        <v>643,1,1,3</v>
      </c>
      <c r="S48" s="132">
        <v>64</v>
      </c>
      <c r="T48" s="133" t="s">
        <v>119</v>
      </c>
      <c r="U48" s="146">
        <v>39.700000000000003</v>
      </c>
      <c r="V48" s="42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4" customFormat="1" hidden="1" x14ac:dyDescent="0.55000000000000004">
      <c r="A49" s="24"/>
      <c r="B49" s="24"/>
      <c r="C49" s="24"/>
      <c r="D49" s="5"/>
      <c r="E49" s="5"/>
      <c r="F49"/>
      <c r="O49" s="6">
        <f t="shared" si="1"/>
        <v>170</v>
      </c>
    </row>
    <row r="50" spans="1:34" s="4" customFormat="1" hidden="1" x14ac:dyDescent="0.55000000000000004">
      <c r="A50" s="25"/>
      <c r="D50" s="7"/>
      <c r="E50" s="7"/>
      <c r="O50" s="6">
        <f t="shared" si="1"/>
        <v>175</v>
      </c>
    </row>
    <row r="51" spans="1:34" s="10" customFormat="1" hidden="1" x14ac:dyDescent="0.55000000000000004">
      <c r="A51" s="24"/>
      <c r="B51" s="24"/>
      <c r="C51" s="24"/>
      <c r="D51" s="7"/>
      <c r="E51" s="7"/>
      <c r="F51" s="4"/>
      <c r="G51"/>
      <c r="H51"/>
      <c r="I51"/>
      <c r="J51"/>
      <c r="K51"/>
      <c r="L51"/>
      <c r="M51"/>
      <c r="N51"/>
      <c r="O51" s="6">
        <f t="shared" si="1"/>
        <v>180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10" customFormat="1" hidden="1" x14ac:dyDescent="0.55000000000000004">
      <c r="A52" s="24"/>
      <c r="B52" s="3"/>
      <c r="C52" s="3"/>
      <c r="D52" s="5"/>
      <c r="E52" s="5"/>
      <c r="F52"/>
      <c r="G52"/>
      <c r="H52"/>
      <c r="I52"/>
      <c r="J52"/>
      <c r="K52"/>
      <c r="L52"/>
      <c r="M52"/>
      <c r="N52"/>
      <c r="O52" s="6">
        <f t="shared" si="1"/>
        <v>185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/>
      <c r="N53"/>
      <c r="O53" s="6">
        <f t="shared" si="1"/>
        <v>190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/>
      <c r="N54"/>
      <c r="O54" s="6">
        <f t="shared" si="1"/>
        <v>195</v>
      </c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/>
      <c r="O55" s="6">
        <f t="shared" si="1"/>
        <v>200</v>
      </c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 s="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 s="6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 s="6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10" customFormat="1" hidden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 s="6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10" customFormat="1" ht="43.5" hidden="1" customHeight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 s="6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 s="6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 s="6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 s="6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 s="6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8" s="10" customFormat="1" hidden="1" x14ac:dyDescent="0.55000000000000004">
      <c r="A65" s="3"/>
      <c r="B65" s="3"/>
      <c r="C65" s="3"/>
      <c r="D65" s="5"/>
      <c r="E65" s="5"/>
      <c r="F65"/>
      <c r="G65"/>
      <c r="H65"/>
      <c r="I65"/>
      <c r="J65"/>
      <c r="K65"/>
      <c r="L65"/>
      <c r="M65"/>
      <c r="N65"/>
      <c r="O65" s="6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8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 s="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 s="10"/>
      <c r="AJ66" s="10"/>
      <c r="AK66" s="10"/>
      <c r="AL66" s="10"/>
    </row>
    <row r="67" spans="1:38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 s="6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 s="10"/>
      <c r="AJ67" s="10"/>
      <c r="AK67" s="10"/>
      <c r="AL67" s="10"/>
    </row>
    <row r="68" spans="1:38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 s="6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 s="10"/>
      <c r="AJ68" s="10"/>
      <c r="AK68" s="10"/>
      <c r="AL68" s="10"/>
    </row>
    <row r="69" spans="1:38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 s="6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 s="10"/>
      <c r="AJ69" s="10"/>
      <c r="AK69" s="10"/>
      <c r="AL69" s="10"/>
    </row>
    <row r="70" spans="1:38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 s="6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 s="10"/>
      <c r="AJ70" s="10"/>
      <c r="AK70" s="10"/>
      <c r="AL70" s="10"/>
    </row>
    <row r="71" spans="1:38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 s="6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 s="10"/>
      <c r="AJ71" s="10"/>
      <c r="AK71" s="10"/>
      <c r="AL71" s="10"/>
    </row>
    <row r="72" spans="1:38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 s="6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 s="10"/>
      <c r="AJ72" s="10"/>
      <c r="AK72" s="10"/>
      <c r="AL72" s="10"/>
    </row>
    <row r="73" spans="1:38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 s="6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 s="10"/>
      <c r="AJ73" s="10"/>
      <c r="AK73" s="10"/>
      <c r="AL73" s="10"/>
    </row>
    <row r="74" spans="1:38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 s="6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 s="10"/>
      <c r="AJ74" s="10"/>
      <c r="AK74" s="10"/>
      <c r="AL74" s="10"/>
    </row>
    <row r="75" spans="1:38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 s="6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 s="10"/>
      <c r="AJ75" s="10"/>
      <c r="AK75" s="10"/>
      <c r="AL75" s="10"/>
    </row>
    <row r="76" spans="1:38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 s="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 s="10"/>
      <c r="AJ76" s="10"/>
      <c r="AK76" s="10"/>
      <c r="AL76" s="10"/>
    </row>
    <row r="77" spans="1:38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 s="6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 s="10"/>
      <c r="AJ77" s="10"/>
      <c r="AK77" s="10"/>
      <c r="AL77" s="10"/>
    </row>
    <row r="78" spans="1:38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 s="6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 s="10"/>
      <c r="AJ78" s="10"/>
      <c r="AK78" s="10"/>
      <c r="AL78" s="10"/>
    </row>
    <row r="79" spans="1:38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 s="10"/>
      <c r="AJ79" s="10"/>
      <c r="AK79" s="10"/>
      <c r="AL79" s="10"/>
    </row>
    <row r="80" spans="1:38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 s="10"/>
      <c r="AJ80" s="10"/>
      <c r="AK80" s="10"/>
      <c r="AL80" s="10"/>
    </row>
    <row r="81" spans="1:38" s="3" customFormat="1" hidden="1" x14ac:dyDescent="0.55000000000000004"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 s="10"/>
      <c r="AJ81" s="10"/>
      <c r="AK81" s="10"/>
      <c r="AL81" s="10"/>
    </row>
    <row r="82" spans="1:38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8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8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8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8" s="10" customFormat="1" hidden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 s="5"/>
    </row>
    <row r="87" spans="1:38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 s="5"/>
    </row>
    <row r="88" spans="1:38" s="10" customFormat="1" hidden="1" x14ac:dyDescent="0.55000000000000004">
      <c r="A88" s="2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 s="5"/>
    </row>
  </sheetData>
  <sheetProtection algorithmName="SHA-512" hashValue="THYJ0pwjm/b2ApYKiiZn2EFkj7RG6N9JAXcXSmKJw+eRtGXAsBmPDWZ22xF4FNbCHLB+GWL3s2NBEYd0P4u2gA==" saltValue="cqbNo11VOinxlYN3KAWTJg==" spinCount="100000" sheet="1" objects="1" scenarios="1"/>
  <mergeCells count="8">
    <mergeCell ref="AH16:AI16"/>
    <mergeCell ref="S19:U19"/>
    <mergeCell ref="S22:V22"/>
    <mergeCell ref="B1:F1"/>
    <mergeCell ref="A15:C15"/>
    <mergeCell ref="S16:V16"/>
    <mergeCell ref="AD16:AE16"/>
    <mergeCell ref="AF16:AG16"/>
  </mergeCells>
  <conditionalFormatting sqref="E4">
    <cfRule type="cellIs" dxfId="11" priority="1" operator="lessThan">
      <formula>125</formula>
    </cfRule>
    <cfRule type="cellIs" dxfId="10" priority="2" operator="greaterThan">
      <formula>125</formula>
    </cfRule>
  </conditionalFormatting>
  <dataValidations count="15">
    <dataValidation allowBlank="1" showInputMessage="1" showErrorMessage="1" prompt="Enter the operating ambient temperature" sqref="Y22" xr:uid="{48B38C5E-84B8-4D10-B528-516989D1279F}"/>
    <dataValidation type="list" allowBlank="1" showInputMessage="1" showErrorMessage="1" prompt="Select copper thickness of top/bottom layers (oz)" sqref="B14" xr:uid="{3F76A4F0-422D-47C5-99C2-CFB83C9EB5B1}">
      <formula1>$K$17:$K$21</formula1>
    </dataValidation>
    <dataValidation type="list" allowBlank="1" showInputMessage="1" showErrorMessage="1" prompt="Select copper thickness of top/bottom layers (oz)" sqref="B13" xr:uid="{09623E42-4150-422F-A1C1-DDAF488F686E}">
      <formula1>$I$17:$I$19</formula1>
    </dataValidation>
    <dataValidation type="list" allowBlank="1" showInputMessage="1" showErrorMessage="1" prompt="Select PWM modulation type" sqref="B5" xr:uid="{04081704-9927-4B54-9482-D1F812F8C0EF}">
      <formula1>$P$17:$P$18</formula1>
    </dataValidation>
    <dataValidation type="list" allowBlank="1" showInputMessage="1" showErrorMessage="1" prompt="Select # of PCB Layers" sqref="B12" xr:uid="{B6C6B81E-EA5D-4EBC-8B60-7C3DA7677A31}">
      <formula1>$H$17:$H$18</formula1>
    </dataValidation>
    <dataValidation type="list" allowBlank="1" showInputMessage="1" showErrorMessage="1" prompt="Select PCB area (cm2)" sqref="B14" xr:uid="{F589F921-06B8-4EEA-A15A-3E5F173A80B2}">
      <formula1>$K$17:$K$21</formula1>
    </dataValidation>
    <dataValidation type="list" allowBlank="1" showInputMessage="1" showErrorMessage="1" prompt="Select an output slew rate setting (V/us)" sqref="B7" xr:uid="{545DF3B2-FC28-47B2-A6B7-596BEDE82AEB}">
      <formula1>$L$17:$L$20</formula1>
    </dataValidation>
    <dataValidation type="list" allowBlank="1" showInputMessage="1" showErrorMessage="1" prompt="Select copper thickness of top/bottom layers (oz)" sqref="Y24 AG16 AC10" xr:uid="{84B5D2A6-4044-471C-BF58-B674DAFA1AE5}">
      <formula1>$I$17:$I$18</formula1>
    </dataValidation>
    <dataValidation type="list" allowBlank="1" showInputMessage="1" showErrorMessage="1" prompt="Select copper thickness of internal layers if more than 2 layer PCB (oz)" sqref="Y24" xr:uid="{9399DC36-0610-42BC-8BC0-DEB1EB002826}">
      <formula1>$J$17:$J$18</formula1>
    </dataValidation>
    <dataValidation type="decimal" allowBlank="1" showInputMessage="1" showErrorMessage="1" error="This voltage is outside the operating range of the DRV8316" prompt="Enter a motor supply voltage between 3 to 20 volts" sqref="B3" xr:uid="{AC6C4D25-475D-4C70-B644-9322ADC3D5B3}">
      <formula1>3</formula1>
      <formula2>20</formula2>
    </dataValidation>
    <dataValidation type="decimal" allowBlank="1" showInputMessage="1" showErrorMessage="1" error="This current is outside the operating range of the DRV8316" prompt="Enter an RMS current between 0 and 3.54 amps" sqref="B4" xr:uid="{2895F323-39BD-464B-8B2E-59048500B996}">
      <formula1>0</formula1>
      <formula2>3.54</formula2>
    </dataValidation>
    <dataValidation type="list" allowBlank="1" showInputMessage="1" showErrorMessage="1" error="This PWM frequency is outside of the operating range of the DRV8316" prompt="Select a PWM frequency between 10kHz and 200kHz" sqref="B6" xr:uid="{019AB560-92CC-441E-BE4A-2EE93E9F42A1}">
      <formula1>$O$17:$O$55</formula1>
    </dataValidation>
    <dataValidation type="list" allowBlank="1" showInputMessage="1" showErrorMessage="1" prompt="Select a dead time setting if using DRV8311P. If using DRV8311H, select &quot;0&quot;." sqref="B8" xr:uid="{6AF863AF-8B70-46F6-BC7F-89010B5457BC}">
      <formula1>$N$17:$N$24</formula1>
    </dataValidation>
    <dataValidation type="decimal" allowBlank="1" showInputMessage="1" showErrorMessage="1" error="AVDD output current out of range" prompt="Enter the AVDD output load current between 0 to 100 mA" sqref="B9" xr:uid="{55B2BA7E-5120-4308-8777-672C946FDD06}">
      <formula1>0</formula1>
      <formula2>100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0" xr:uid="{021F4994-8E7C-4D5F-BF7E-836C7A54C8D3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51A6-606E-4150-AE12-1A4874CC639C}">
  <dimension ref="A1:ET93"/>
  <sheetViews>
    <sheetView zoomScale="71" zoomScaleNormal="85" workbookViewId="0">
      <selection activeCell="A26" sqref="A26:XFD1048576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/>
    <col min="8" max="8" width="28.5234375" hidden="1"/>
    <col min="9" max="9" width="12.5234375" hidden="1"/>
    <col min="10" max="10" width="31" hidden="1"/>
    <col min="11" max="11" width="25.5234375" hidden="1"/>
    <col min="12" max="12" width="11.47265625" hidden="1"/>
    <col min="13" max="13" width="12.5234375" hidden="1"/>
    <col min="14" max="14" width="30.47265625" hidden="1"/>
    <col min="15" max="15" width="26.47265625" hidden="1"/>
    <col min="16" max="16" width="11" hidden="1"/>
    <col min="17" max="17" width="10.5234375" hidden="1"/>
    <col min="18" max="18" width="11.47265625" hidden="1"/>
    <col min="19" max="19" width="13.47265625" hidden="1"/>
    <col min="20" max="20" width="13.5234375" hidden="1"/>
    <col min="21" max="21" width="21.47265625" hidden="1"/>
    <col min="22" max="22" width="14.47265625" hidden="1"/>
    <col min="23" max="23" width="30.47265625" hidden="1"/>
    <col min="24" max="24" width="14.47265625" hidden="1"/>
    <col min="25" max="25" width="24.5234375" hidden="1"/>
    <col min="26" max="26" width="28.7890625" hidden="1"/>
    <col min="27" max="27" width="44.7890625" hidden="1"/>
    <col min="28" max="28" width="30.47265625" hidden="1"/>
    <col min="29" max="29" width="13.5234375" hidden="1"/>
    <col min="30" max="30" width="7.5234375" hidden="1"/>
    <col min="31" max="31" width="45.7890625" hidden="1"/>
    <col min="32" max="32" width="34.5234375" hidden="1"/>
    <col min="33" max="33" width="14" style="10" hidden="1"/>
    <col min="34" max="34" width="16.47265625" style="10" hidden="1"/>
    <col min="35" max="35" width="13.5234375" style="10" hidden="1"/>
    <col min="36" max="36" width="16.47265625" style="10" hidden="1"/>
    <col min="37" max="37" width="13.5234375" hidden="1"/>
    <col min="38" max="38" width="16.47265625" hidden="1"/>
    <col min="39" max="39" width="13.5234375" hidden="1"/>
    <col min="40" max="120" width="8.83984375" hidden="1"/>
    <col min="121" max="148" width="8.5234375" hidden="1"/>
    <col min="151" max="16384" width="8.83984375" hidden="1"/>
  </cols>
  <sheetData>
    <row r="1" spans="1:36" ht="15" customHeight="1" thickBot="1" x14ac:dyDescent="0.6">
      <c r="A1" s="142" t="s">
        <v>181</v>
      </c>
      <c r="B1" s="185" t="s">
        <v>182</v>
      </c>
      <c r="C1" s="185"/>
      <c r="D1" s="185"/>
      <c r="E1" s="185"/>
      <c r="F1" s="185"/>
    </row>
    <row r="2" spans="1:36" ht="15" customHeight="1" thickBot="1" x14ac:dyDescent="0.6">
      <c r="A2" s="83" t="s">
        <v>2</v>
      </c>
      <c r="B2" s="74" t="s">
        <v>183</v>
      </c>
      <c r="C2" s="80" t="s">
        <v>4</v>
      </c>
      <c r="D2" s="84" t="s">
        <v>5</v>
      </c>
      <c r="E2" s="85" t="s">
        <v>6</v>
      </c>
      <c r="F2" s="85" t="s">
        <v>4</v>
      </c>
    </row>
    <row r="3" spans="1:36" ht="15" customHeight="1" thickBot="1" x14ac:dyDescent="0.6">
      <c r="A3" s="86" t="s">
        <v>7</v>
      </c>
      <c r="B3" s="70">
        <v>20</v>
      </c>
      <c r="C3" s="77" t="s">
        <v>8</v>
      </c>
      <c r="D3" s="87" t="s">
        <v>9</v>
      </c>
      <c r="E3" s="97">
        <f>ROUND(IF(X27=-1,"n/a",$AK$25),2)</f>
        <v>2.04</v>
      </c>
      <c r="F3" s="77" t="s">
        <v>10</v>
      </c>
    </row>
    <row r="4" spans="1:36" ht="15" customHeight="1" thickBot="1" x14ac:dyDescent="0.6">
      <c r="A4" s="88" t="s">
        <v>11</v>
      </c>
      <c r="B4" s="71">
        <v>2</v>
      </c>
      <c r="C4" s="78" t="s">
        <v>12</v>
      </c>
      <c r="D4" s="87" t="s">
        <v>13</v>
      </c>
      <c r="E4" s="98">
        <f>ROUND(IF(X27=-1,"n/a",$AK$26),2)</f>
        <v>196.18</v>
      </c>
      <c r="F4" s="79" t="s">
        <v>14</v>
      </c>
    </row>
    <row r="5" spans="1:36" ht="15" customHeight="1" x14ac:dyDescent="0.55000000000000004">
      <c r="A5" s="91" t="s">
        <v>18</v>
      </c>
      <c r="B5" s="70" t="s">
        <v>61</v>
      </c>
      <c r="C5" s="78" t="s">
        <v>17</v>
      </c>
      <c r="D5" s="90"/>
      <c r="E5" s="90"/>
      <c r="F5" s="90"/>
    </row>
    <row r="6" spans="1:36" ht="15" customHeight="1" x14ac:dyDescent="0.55000000000000004">
      <c r="A6" s="91" t="s">
        <v>20</v>
      </c>
      <c r="B6" s="70">
        <v>300</v>
      </c>
      <c r="C6" s="78" t="s">
        <v>21</v>
      </c>
      <c r="D6" s="1"/>
      <c r="E6" s="1"/>
      <c r="F6" s="1"/>
    </row>
    <row r="7" spans="1:36" ht="15" customHeight="1" x14ac:dyDescent="0.55000000000000004">
      <c r="A7" s="88" t="str">
        <f>IF(B6=0,"Motor Phase Inductance [Ls]","-")</f>
        <v>-</v>
      </c>
      <c r="B7" s="70"/>
      <c r="C7" s="78" t="str">
        <f>IF(B6=0,"mH","-")</f>
        <v>-</v>
      </c>
      <c r="D7" s="1"/>
      <c r="E7" s="1"/>
      <c r="F7" s="1"/>
    </row>
    <row r="8" spans="1:36" ht="15" customHeight="1" x14ac:dyDescent="0.55000000000000004">
      <c r="A8" s="88" t="str">
        <f>IF(B6=0,"Motor Phase BEMF constant [Ke_ph(pk)]","-")</f>
        <v>-</v>
      </c>
      <c r="B8" s="70"/>
      <c r="C8" s="78" t="str">
        <f>IF(B6=0,"V/Hz","-")</f>
        <v>-</v>
      </c>
      <c r="D8" s="1"/>
      <c r="E8" s="1"/>
      <c r="F8" s="1"/>
    </row>
    <row r="9" spans="1:36" ht="15" customHeight="1" x14ac:dyDescent="0.55000000000000004">
      <c r="A9" s="88" t="s">
        <v>22</v>
      </c>
      <c r="B9" s="70">
        <v>100</v>
      </c>
      <c r="C9" s="77" t="s">
        <v>23</v>
      </c>
      <c r="D9" s="1"/>
      <c r="E9" s="1"/>
      <c r="F9" s="1"/>
    </row>
    <row r="10" spans="1:36" ht="15" customHeight="1" x14ac:dyDescent="0.55000000000000004">
      <c r="A10" s="86" t="s">
        <v>24</v>
      </c>
      <c r="B10" s="70">
        <v>20</v>
      </c>
      <c r="C10" s="78" t="s">
        <v>25</v>
      </c>
      <c r="D10" s="1"/>
      <c r="E10" s="1"/>
      <c r="F10" s="1"/>
    </row>
    <row r="11" spans="1:36" ht="15" customHeight="1" x14ac:dyDescent="0.55000000000000004">
      <c r="A11" s="92" t="s">
        <v>26</v>
      </c>
      <c r="B11" s="71">
        <v>50</v>
      </c>
      <c r="C11" s="78" t="s">
        <v>27</v>
      </c>
      <c r="D11" s="6"/>
      <c r="E11" s="6"/>
      <c r="F11" s="1"/>
    </row>
    <row r="12" spans="1:36" ht="15" customHeight="1" x14ac:dyDescent="0.55000000000000004">
      <c r="A12" s="93" t="s">
        <v>28</v>
      </c>
      <c r="B12" s="72">
        <v>0</v>
      </c>
      <c r="C12" s="78" t="s">
        <v>29</v>
      </c>
      <c r="D12" s="6"/>
      <c r="E12" s="6"/>
      <c r="F12" s="1"/>
      <c r="AG12"/>
      <c r="AH12"/>
      <c r="AI12"/>
      <c r="AJ12"/>
    </row>
    <row r="13" spans="1:36" ht="15" customHeight="1" thickBot="1" x14ac:dyDescent="0.6">
      <c r="A13" s="94" t="s">
        <v>30</v>
      </c>
      <c r="B13" s="73">
        <v>25</v>
      </c>
      <c r="C13" s="79" t="s">
        <v>14</v>
      </c>
      <c r="D13" s="6"/>
      <c r="E13" s="6"/>
      <c r="F13" s="1"/>
      <c r="AG13"/>
      <c r="AH13"/>
      <c r="AI13"/>
      <c r="AJ13"/>
    </row>
    <row r="14" spans="1:36" ht="15" customHeight="1" thickBot="1" x14ac:dyDescent="0.6">
      <c r="A14" s="95" t="s">
        <v>31</v>
      </c>
      <c r="B14" s="74"/>
      <c r="C14" s="80"/>
      <c r="D14" s="6"/>
      <c r="E14" s="6"/>
      <c r="F14" s="1"/>
      <c r="AG14"/>
      <c r="AH14"/>
      <c r="AI14"/>
      <c r="AJ14"/>
    </row>
    <row r="15" spans="1:36" ht="15" customHeight="1" x14ac:dyDescent="0.55000000000000004">
      <c r="A15" s="96" t="s">
        <v>32</v>
      </c>
      <c r="B15" s="75">
        <v>2</v>
      </c>
      <c r="C15" s="77" t="s">
        <v>33</v>
      </c>
      <c r="D15" s="6"/>
      <c r="E15" s="6"/>
      <c r="F15" s="1"/>
      <c r="AG15"/>
      <c r="AH15"/>
      <c r="AI15"/>
      <c r="AJ15"/>
    </row>
    <row r="16" spans="1:36" ht="29.2" customHeight="1" x14ac:dyDescent="0.55000000000000004">
      <c r="A16" s="92" t="s">
        <v>34</v>
      </c>
      <c r="B16" s="71">
        <v>1</v>
      </c>
      <c r="C16" s="81" t="s">
        <v>35</v>
      </c>
      <c r="D16" s="6"/>
      <c r="E16" s="6"/>
      <c r="F16" s="1"/>
      <c r="AG16"/>
      <c r="AH16"/>
      <c r="AI16"/>
      <c r="AJ16"/>
    </row>
    <row r="17" spans="1:150" ht="28.45" customHeight="1" thickBot="1" x14ac:dyDescent="0.6">
      <c r="A17" s="94" t="s">
        <v>36</v>
      </c>
      <c r="B17" s="76">
        <v>4</v>
      </c>
      <c r="C17" s="82" t="s">
        <v>37</v>
      </c>
      <c r="D17" s="6"/>
      <c r="E17" s="6"/>
      <c r="F17" s="1"/>
      <c r="AG17"/>
      <c r="AH17"/>
      <c r="AI17"/>
      <c r="AJ17"/>
    </row>
    <row r="18" spans="1:150" ht="28.45" customHeight="1" thickBot="1" x14ac:dyDescent="0.6">
      <c r="A18" s="194" t="s">
        <v>184</v>
      </c>
      <c r="B18" s="195"/>
      <c r="C18" s="196"/>
      <c r="D18" s="6"/>
      <c r="E18" s="6"/>
      <c r="F18" s="1"/>
      <c r="G18" s="1"/>
      <c r="AG18"/>
      <c r="AH18"/>
      <c r="AI18"/>
      <c r="AJ18"/>
      <c r="AN18" s="10"/>
    </row>
    <row r="19" spans="1:150" s="1" customFormat="1" ht="32.200000000000003" customHeight="1" x14ac:dyDescent="0.55000000000000004"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 s="51" t="s">
        <v>39</v>
      </c>
      <c r="AA19" s="51" t="s">
        <v>6</v>
      </c>
      <c r="AB19" s="51" t="s">
        <v>4</v>
      </c>
      <c r="AC19"/>
      <c r="AD19"/>
      <c r="AE19"/>
      <c r="AF19"/>
      <c r="AG19"/>
      <c r="AH19"/>
      <c r="AI19"/>
      <c r="AJ19"/>
      <c r="AK19"/>
      <c r="AL19"/>
      <c r="AM19"/>
      <c r="AN19" s="11"/>
      <c r="ET19"/>
    </row>
    <row r="20" spans="1:150" ht="22.5" customHeight="1" x14ac:dyDescent="0.55000000000000004">
      <c r="Z20" s="25" t="s">
        <v>48</v>
      </c>
      <c r="AA20" s="3">
        <v>1.4829000000000001</v>
      </c>
      <c r="AB20" s="3" t="s">
        <v>12</v>
      </c>
      <c r="AG20"/>
      <c r="AH20"/>
      <c r="AI20"/>
      <c r="AJ20"/>
    </row>
    <row r="21" spans="1:150" ht="14.7" thickBot="1" x14ac:dyDescent="0.6">
      <c r="Z21" s="25" t="s">
        <v>57</v>
      </c>
      <c r="AA21" s="3">
        <v>0.99</v>
      </c>
      <c r="AB21" s="3"/>
      <c r="AG21"/>
      <c r="AH21"/>
      <c r="AI21"/>
      <c r="AJ21"/>
      <c r="AK21" s="10"/>
      <c r="AL21" s="10"/>
    </row>
    <row r="22" spans="1:150" ht="14.7" thickBot="1" x14ac:dyDescent="0.6">
      <c r="K22" s="6" t="s">
        <v>32</v>
      </c>
      <c r="L22" s="6" t="s">
        <v>40</v>
      </c>
      <c r="M22" s="6" t="s">
        <v>41</v>
      </c>
      <c r="N22" s="6" t="s">
        <v>36</v>
      </c>
      <c r="O22" s="6" t="s">
        <v>42</v>
      </c>
      <c r="P22" s="8" t="s">
        <v>185</v>
      </c>
      <c r="Q22" s="6" t="s">
        <v>44</v>
      </c>
      <c r="R22" s="8" t="s">
        <v>46</v>
      </c>
      <c r="S22" s="8"/>
      <c r="U22" s="154" t="s">
        <v>47</v>
      </c>
      <c r="V22" s="155"/>
      <c r="W22" s="155"/>
      <c r="X22" s="156"/>
      <c r="Z22" s="25" t="s">
        <v>169</v>
      </c>
      <c r="AA22" s="3">
        <v>10</v>
      </c>
      <c r="AB22" s="3" t="s">
        <v>29</v>
      </c>
      <c r="AC22" t="s">
        <v>190</v>
      </c>
      <c r="AF22" s="147" t="s">
        <v>49</v>
      </c>
      <c r="AG22" s="66"/>
      <c r="AH22" s="147" t="s">
        <v>50</v>
      </c>
      <c r="AI22" s="66"/>
      <c r="AJ22" s="147" t="s">
        <v>51</v>
      </c>
      <c r="AK22" s="66"/>
      <c r="AL22" s="10"/>
    </row>
    <row r="23" spans="1:150" ht="14.7" thickBot="1" x14ac:dyDescent="0.6">
      <c r="K23" s="6">
        <v>2</v>
      </c>
      <c r="L23" s="6">
        <v>1</v>
      </c>
      <c r="M23" s="6">
        <v>1</v>
      </c>
      <c r="N23" s="26">
        <v>4</v>
      </c>
      <c r="O23" s="6">
        <v>25</v>
      </c>
      <c r="P23" s="6">
        <v>0.57499999999999996</v>
      </c>
      <c r="Q23" s="6">
        <f>10</f>
        <v>10</v>
      </c>
      <c r="R23" s="8" t="s">
        <v>19</v>
      </c>
      <c r="S23" s="8"/>
      <c r="U23" s="17" t="s">
        <v>53</v>
      </c>
      <c r="V23" s="18" t="s">
        <v>54</v>
      </c>
      <c r="W23" s="18" t="s">
        <v>55</v>
      </c>
      <c r="X23" s="19" t="s">
        <v>56</v>
      </c>
      <c r="Z23" s="25" t="s">
        <v>169</v>
      </c>
      <c r="AA23" s="45">
        <v>10</v>
      </c>
      <c r="AB23" s="3" t="s">
        <v>29</v>
      </c>
      <c r="AC23" t="s">
        <v>190</v>
      </c>
      <c r="AF23" s="29" t="s">
        <v>58</v>
      </c>
      <c r="AG23">
        <f>IF(B3&lt;6, $AA$24, $AA$26)+($AD$28*(B13-25))</f>
        <v>65</v>
      </c>
      <c r="AH23" s="29" t="s">
        <v>59</v>
      </c>
      <c r="AI23">
        <f>IF(B3&lt;6, $AA$24, $AA$26)+($AD$28*(AG26-25))</f>
        <v>97.525129411764709</v>
      </c>
      <c r="AJ23" s="29" t="s">
        <v>60</v>
      </c>
      <c r="AK23" s="57">
        <f>IF(B3&lt;6, $AA$24, $AA$26)+($AD$28*(AI26-25))</f>
        <v>105.71512941176471</v>
      </c>
      <c r="AL23" s="58"/>
    </row>
    <row r="24" spans="1:150" ht="14.7" thickBot="1" x14ac:dyDescent="0.6">
      <c r="K24" s="6">
        <v>4</v>
      </c>
      <c r="L24" s="6">
        <v>2</v>
      </c>
      <c r="M24" s="6">
        <v>2</v>
      </c>
      <c r="N24" s="26">
        <v>8</v>
      </c>
      <c r="O24" s="6">
        <v>50</v>
      </c>
      <c r="P24" s="6">
        <v>0.32500000000000001</v>
      </c>
      <c r="Q24" s="6">
        <f>Q23+5</f>
        <v>15</v>
      </c>
      <c r="R24" s="8" t="s">
        <v>61</v>
      </c>
      <c r="S24" s="8"/>
      <c r="U24" s="14">
        <f>B16</f>
        <v>1</v>
      </c>
      <c r="V24" s="12" t="str">
        <f>IF(B15&gt;2,AA30,"")</f>
        <v/>
      </c>
      <c r="W24" s="12" t="str">
        <f>IF(B15&gt;2,AA30,"")</f>
        <v/>
      </c>
      <c r="X24" s="15">
        <f>B16</f>
        <v>1</v>
      </c>
      <c r="Z24" s="25" t="s">
        <v>186</v>
      </c>
      <c r="AA24" s="3">
        <f>155/2</f>
        <v>77.5</v>
      </c>
      <c r="AB24" s="3" t="s">
        <v>78</v>
      </c>
      <c r="AF24" s="30" t="s">
        <v>63</v>
      </c>
      <c r="AG24" s="9">
        <f>ROUND(3*$B$4*$B$4*AG23/(1000),3)</f>
        <v>0.78</v>
      </c>
      <c r="AH24" s="30" t="s">
        <v>64</v>
      </c>
      <c r="AI24" s="9">
        <f>ROUND(3*$B$4*$B$4*AI23/(1000),3)</f>
        <v>1.17</v>
      </c>
      <c r="AJ24" s="30" t="s">
        <v>65</v>
      </c>
      <c r="AK24" s="9">
        <f>ROUND(3*$B$4*$B$4*AK23/(1000),3)</f>
        <v>1.2689999999999999</v>
      </c>
      <c r="AL24" s="10"/>
    </row>
    <row r="25" spans="1:150" ht="14.7" thickBot="1" x14ac:dyDescent="0.6">
      <c r="A25" s="3"/>
      <c r="K25" s="6"/>
      <c r="L25" s="6">
        <v>3</v>
      </c>
      <c r="M25" s="6"/>
      <c r="N25" s="26">
        <v>16</v>
      </c>
      <c r="O25" s="6">
        <v>125</v>
      </c>
      <c r="P25" s="6">
        <v>0.25</v>
      </c>
      <c r="Q25" s="6">
        <f t="shared" ref="Q25:Q61" si="0">Q24+5</f>
        <v>20</v>
      </c>
      <c r="R25" s="8"/>
      <c r="S25" s="8"/>
      <c r="T25" s="8"/>
      <c r="U25" s="148" t="s">
        <v>66</v>
      </c>
      <c r="V25" s="149"/>
      <c r="W25" s="150"/>
      <c r="X25" s="33" t="s">
        <v>67</v>
      </c>
      <c r="Z25" s="28" t="s">
        <v>187</v>
      </c>
      <c r="AA25" s="8">
        <f>225/2</f>
        <v>112.5</v>
      </c>
      <c r="AB25" s="8" t="s">
        <v>78</v>
      </c>
      <c r="AF25" s="30" t="s">
        <v>70</v>
      </c>
      <c r="AG25" s="9">
        <f>AG24+$AD$29</f>
        <v>1.5488156862745099</v>
      </c>
      <c r="AH25" s="30" t="s">
        <v>71</v>
      </c>
      <c r="AI25" s="9">
        <f>AI24+$AD$29</f>
        <v>1.9388156862745098</v>
      </c>
      <c r="AJ25" s="31" t="s">
        <v>72</v>
      </c>
      <c r="AK25" s="32">
        <f>AK24+$AD$29</f>
        <v>2.0378156862745098</v>
      </c>
      <c r="AL25" s="10"/>
    </row>
    <row r="26" spans="1:150" ht="14.7" hidden="1" thickBot="1" x14ac:dyDescent="0.6">
      <c r="A26" s="3"/>
      <c r="K26" s="6"/>
      <c r="L26" s="6"/>
      <c r="M26" s="6"/>
      <c r="N26" s="26">
        <v>32</v>
      </c>
      <c r="O26" s="6">
        <v>200</v>
      </c>
      <c r="P26" s="6">
        <v>0.25</v>
      </c>
      <c r="Q26" s="6">
        <f t="shared" si="0"/>
        <v>25</v>
      </c>
      <c r="R26" s="8"/>
      <c r="S26" s="8"/>
      <c r="T26" s="8"/>
      <c r="U26" s="20" t="s">
        <v>73</v>
      </c>
      <c r="V26" s="21" t="s">
        <v>74</v>
      </c>
      <c r="W26" s="21" t="s">
        <v>75</v>
      </c>
      <c r="X26" s="34" t="s">
        <v>76</v>
      </c>
      <c r="Z26" s="25" t="s">
        <v>173</v>
      </c>
      <c r="AA26" s="3">
        <f>130/2</f>
        <v>65</v>
      </c>
      <c r="AB26" s="3" t="s">
        <v>78</v>
      </c>
      <c r="AF26" s="30" t="s">
        <v>79</v>
      </c>
      <c r="AG26" s="9">
        <f>$B$13+(AG25*$AA$31)</f>
        <v>155.10051764705884</v>
      </c>
      <c r="AH26" s="30" t="s">
        <v>80</v>
      </c>
      <c r="AI26" s="9">
        <f>$B$13+(AI25*$AA$31)</f>
        <v>187.86051764705883</v>
      </c>
      <c r="AJ26" s="31" t="s">
        <v>81</v>
      </c>
      <c r="AK26" s="32">
        <f>$B$13+(AK25*$AA$31)</f>
        <v>196.17651764705883</v>
      </c>
      <c r="AL26" s="10"/>
    </row>
    <row r="27" spans="1:150" hidden="1" x14ac:dyDescent="0.55000000000000004">
      <c r="A27" s="3"/>
      <c r="K27" s="6"/>
      <c r="L27" s="6"/>
      <c r="M27" s="6"/>
      <c r="N27" s="26">
        <v>64</v>
      </c>
      <c r="O27" s="6"/>
      <c r="P27" s="6"/>
      <c r="Q27" s="6">
        <f t="shared" si="0"/>
        <v>30</v>
      </c>
      <c r="R27" s="8"/>
      <c r="S27" s="8"/>
      <c r="T27" s="8"/>
      <c r="U27" s="14" t="str">
        <f>_xlfn.TEXTJOIN(",",TRUE,U24:X24)</f>
        <v>1,1</v>
      </c>
      <c r="V27" s="12">
        <f>B17</f>
        <v>4</v>
      </c>
      <c r="W27" s="12"/>
      <c r="X27" s="15">
        <f>VLOOKUP(V27&amp;U27,T30:W54,4,FALSE)</f>
        <v>84</v>
      </c>
      <c r="Z27" s="28" t="s">
        <v>188</v>
      </c>
      <c r="AA27" s="8">
        <f>180/2</f>
        <v>90</v>
      </c>
      <c r="AB27" s="8" t="s">
        <v>78</v>
      </c>
      <c r="AG27"/>
      <c r="AH27"/>
      <c r="AI27"/>
      <c r="AJ27"/>
      <c r="AK27" s="10"/>
      <c r="AL27" s="10"/>
    </row>
    <row r="28" spans="1:150" hidden="1" x14ac:dyDescent="0.55000000000000004">
      <c r="A28" s="24"/>
      <c r="B28" s="24"/>
      <c r="C28" s="24"/>
      <c r="K28" s="5"/>
      <c r="L28" s="5"/>
      <c r="Q28" s="6">
        <f t="shared" si="0"/>
        <v>35</v>
      </c>
      <c r="U28" s="151" t="s">
        <v>83</v>
      </c>
      <c r="V28" s="152"/>
      <c r="W28" s="152"/>
      <c r="X28" s="153"/>
      <c r="Z28" s="25" t="s">
        <v>30</v>
      </c>
      <c r="AA28" s="3">
        <v>25</v>
      </c>
      <c r="AB28" s="3" t="s">
        <v>84</v>
      </c>
      <c r="AC28" t="s">
        <v>85</v>
      </c>
      <c r="AD28" s="43">
        <f>IF(AND(B3&gt;2.999,B3&lt;6.001),(AA25-AA24)/(125-25),(AA27-AA26)/(125-25))</f>
        <v>0.25</v>
      </c>
      <c r="AG28"/>
      <c r="AH28"/>
      <c r="AI28"/>
      <c r="AJ28"/>
      <c r="AK28" s="10"/>
      <c r="AL28" s="10"/>
    </row>
    <row r="29" spans="1:150" ht="86.4" hidden="1" x14ac:dyDescent="0.55000000000000004">
      <c r="A29" s="3"/>
      <c r="K29" s="5"/>
      <c r="L29" s="5"/>
      <c r="Q29" s="6">
        <f t="shared" si="0"/>
        <v>40</v>
      </c>
      <c r="T29" s="4" t="s">
        <v>86</v>
      </c>
      <c r="U29" s="102" t="s">
        <v>87</v>
      </c>
      <c r="V29" s="103" t="s">
        <v>73</v>
      </c>
      <c r="W29" s="104" t="s">
        <v>88</v>
      </c>
      <c r="X29" s="22"/>
      <c r="Z29" s="25" t="s">
        <v>89</v>
      </c>
      <c r="AA29" s="3">
        <v>1</v>
      </c>
      <c r="AB29" s="3" t="s">
        <v>90</v>
      </c>
      <c r="AC29" s="27" t="s">
        <v>91</v>
      </c>
      <c r="AD29" s="35">
        <f>AA39+AA43+AA44+AA46+AA47+AA48+AA55</f>
        <v>0.76881568627450991</v>
      </c>
      <c r="AG29"/>
      <c r="AH29"/>
      <c r="AI29"/>
      <c r="AJ29"/>
      <c r="AK29" s="10"/>
      <c r="AL29" s="10"/>
    </row>
    <row r="30" spans="1:150" hidden="1" x14ac:dyDescent="0.55000000000000004">
      <c r="A30" s="23"/>
      <c r="K30" s="5"/>
      <c r="L30" s="5"/>
      <c r="Q30" s="6">
        <f t="shared" si="0"/>
        <v>45</v>
      </c>
      <c r="T30" s="4" t="str">
        <f t="shared" ref="T30:T54" si="1">U30&amp;V30</f>
        <v>41,1</v>
      </c>
      <c r="U30" s="14">
        <v>4</v>
      </c>
      <c r="V30" s="12" t="s">
        <v>92</v>
      </c>
      <c r="W30" s="99">
        <v>84</v>
      </c>
      <c r="X30" s="13"/>
      <c r="Z30" s="25" t="str">
        <f>IF(B15&gt;2,"Internal Layers Cu Thickness","")</f>
        <v/>
      </c>
      <c r="AA30" s="3">
        <v>1</v>
      </c>
      <c r="AB30" s="3" t="str">
        <f>IF(B15&gt;2,"oz","")</f>
        <v/>
      </c>
      <c r="AG30"/>
      <c r="AH30"/>
      <c r="AI30"/>
      <c r="AJ30"/>
      <c r="AK30" s="10"/>
      <c r="AL30" s="10"/>
    </row>
    <row r="31" spans="1:150" hidden="1" x14ac:dyDescent="0.55000000000000004">
      <c r="A31" s="3"/>
      <c r="K31" s="5"/>
      <c r="L31" s="5"/>
      <c r="Q31" s="6">
        <f t="shared" si="0"/>
        <v>50</v>
      </c>
      <c r="T31" s="4" t="str">
        <f t="shared" si="1"/>
        <v>42,2</v>
      </c>
      <c r="U31" s="14">
        <v>4</v>
      </c>
      <c r="V31" s="12" t="s">
        <v>93</v>
      </c>
      <c r="W31" s="100">
        <v>77</v>
      </c>
      <c r="X31" s="15"/>
      <c r="Z31" s="25" t="s">
        <v>94</v>
      </c>
      <c r="AA31" s="3">
        <f>X27</f>
        <v>84</v>
      </c>
      <c r="AB31" s="3" t="s">
        <v>95</v>
      </c>
      <c r="AG31"/>
      <c r="AH31"/>
      <c r="AI31"/>
      <c r="AJ31"/>
      <c r="AK31" s="10"/>
      <c r="AL31" s="10"/>
      <c r="ET31" s="1"/>
    </row>
    <row r="32" spans="1:150" hidden="1" x14ac:dyDescent="0.55000000000000004">
      <c r="A32" s="3"/>
      <c r="G32" s="1"/>
      <c r="K32" s="5"/>
      <c r="L32" s="5"/>
      <c r="Q32" s="6">
        <f t="shared" si="0"/>
        <v>55</v>
      </c>
      <c r="T32" s="4" t="str">
        <f t="shared" si="1"/>
        <v>41,1,1,1</v>
      </c>
      <c r="U32" s="14">
        <v>4</v>
      </c>
      <c r="V32" s="12" t="s">
        <v>96</v>
      </c>
      <c r="W32" s="99">
        <v>69.2</v>
      </c>
      <c r="X32" s="15"/>
      <c r="Z32" s="51" t="s">
        <v>39</v>
      </c>
      <c r="AA32" s="51" t="s">
        <v>6</v>
      </c>
      <c r="AB32" s="51" t="s">
        <v>4</v>
      </c>
      <c r="AG32"/>
      <c r="AH32"/>
      <c r="AI32"/>
      <c r="AJ32"/>
      <c r="AK32" s="10"/>
      <c r="AL32" s="10"/>
    </row>
    <row r="33" spans="1:150" s="1" customFormat="1" hidden="1" x14ac:dyDescent="0.55000000000000004">
      <c r="D33" s="6"/>
      <c r="E33" s="6"/>
      <c r="G33"/>
      <c r="H33"/>
      <c r="I33"/>
      <c r="J33"/>
      <c r="K33" s="5"/>
      <c r="L33" s="5"/>
      <c r="M33"/>
      <c r="N33"/>
      <c r="O33"/>
      <c r="P33"/>
      <c r="Q33" s="6">
        <f t="shared" si="0"/>
        <v>60</v>
      </c>
      <c r="R33"/>
      <c r="S33"/>
      <c r="T33" s="4" t="str">
        <f t="shared" si="1"/>
        <v>42,1,1,2</v>
      </c>
      <c r="U33" s="14">
        <v>4</v>
      </c>
      <c r="V33" s="12" t="s">
        <v>97</v>
      </c>
      <c r="W33" s="99">
        <v>66.900000000000006</v>
      </c>
      <c r="X33" s="15"/>
      <c r="Y33"/>
      <c r="Z33" s="25" t="s">
        <v>98</v>
      </c>
      <c r="AA33" s="3">
        <f>ROUND((B3/SQRT(3))*AA21,2)</f>
        <v>11.43</v>
      </c>
      <c r="AB33" s="3" t="s">
        <v>8</v>
      </c>
      <c r="AC33"/>
      <c r="AD33"/>
      <c r="AE33"/>
      <c r="AF33"/>
      <c r="AG33"/>
      <c r="AH33"/>
      <c r="AI33"/>
      <c r="AJ33"/>
      <c r="AK33" s="10"/>
      <c r="AL33" s="10"/>
      <c r="AM33"/>
      <c r="ET33"/>
    </row>
    <row r="34" spans="1:150" hidden="1" x14ac:dyDescent="0.55000000000000004">
      <c r="A34" s="3"/>
      <c r="K34" s="5"/>
      <c r="L34" s="5"/>
      <c r="Q34" s="6">
        <f t="shared" si="0"/>
        <v>65</v>
      </c>
      <c r="T34" s="4" t="str">
        <f t="shared" si="1"/>
        <v>81,1</v>
      </c>
      <c r="U34" s="14">
        <v>8</v>
      </c>
      <c r="V34" s="12" t="s">
        <v>92</v>
      </c>
      <c r="W34" s="99">
        <v>70.099999999999994</v>
      </c>
      <c r="X34" s="15"/>
      <c r="Z34" s="25" t="s">
        <v>99</v>
      </c>
      <c r="AA34" s="3">
        <f>ROUND(AA33/1.41,2)</f>
        <v>8.11</v>
      </c>
      <c r="AB34" s="3" t="s">
        <v>8</v>
      </c>
      <c r="AE34" s="1"/>
      <c r="AF34" s="1"/>
      <c r="AG34" s="1"/>
      <c r="AH34" s="1"/>
      <c r="AI34" s="1"/>
      <c r="AJ34" s="1"/>
      <c r="AK34" s="11"/>
      <c r="AL34" s="11"/>
    </row>
    <row r="35" spans="1:150" hidden="1" x14ac:dyDescent="0.55000000000000004">
      <c r="A35" s="3"/>
      <c r="K35" s="5"/>
      <c r="L35" s="5"/>
      <c r="Q35" s="6">
        <f t="shared" si="0"/>
        <v>70</v>
      </c>
      <c r="T35" s="4" t="str">
        <f t="shared" si="1"/>
        <v>82,2</v>
      </c>
      <c r="U35" s="14">
        <v>8</v>
      </c>
      <c r="V35" s="12" t="s">
        <v>93</v>
      </c>
      <c r="W35" s="100">
        <v>61.6</v>
      </c>
      <c r="X35" s="15"/>
      <c r="Z35" s="25" t="s">
        <v>100</v>
      </c>
      <c r="AA35" s="3">
        <f>B4/0.816</f>
        <v>2.4509803921568629</v>
      </c>
      <c r="AB35" s="3" t="s">
        <v>12</v>
      </c>
      <c r="AG35"/>
      <c r="AH35"/>
      <c r="AI35"/>
      <c r="AJ35"/>
      <c r="AK35" s="10"/>
      <c r="AL35" s="10"/>
    </row>
    <row r="36" spans="1:150" hidden="1" x14ac:dyDescent="0.55000000000000004">
      <c r="A36" s="3"/>
      <c r="K36" s="5"/>
      <c r="L36" s="5"/>
      <c r="Q36" s="6">
        <f t="shared" si="0"/>
        <v>75</v>
      </c>
      <c r="T36" s="4" t="str">
        <f t="shared" si="1"/>
        <v>81,1,1,1</v>
      </c>
      <c r="U36" s="14">
        <v>8</v>
      </c>
      <c r="V36" s="12" t="s">
        <v>96</v>
      </c>
      <c r="W36" s="99">
        <v>54.7</v>
      </c>
      <c r="X36" s="15"/>
      <c r="Z36" s="28" t="s">
        <v>101</v>
      </c>
      <c r="AA36" s="8">
        <f>B3/B11</f>
        <v>0.4</v>
      </c>
      <c r="AB36" s="8" t="s">
        <v>21</v>
      </c>
      <c r="AG36"/>
      <c r="AH36"/>
      <c r="AI36"/>
      <c r="AJ36"/>
      <c r="AK36" s="10"/>
      <c r="AL36" s="10"/>
    </row>
    <row r="37" spans="1:150" hidden="1" x14ac:dyDescent="0.55000000000000004">
      <c r="A37" s="3"/>
      <c r="K37" s="5"/>
      <c r="L37" s="5"/>
      <c r="Q37" s="6">
        <f t="shared" si="0"/>
        <v>80</v>
      </c>
      <c r="T37" s="4" t="str">
        <f t="shared" si="1"/>
        <v>82,1,1,2</v>
      </c>
      <c r="U37" s="14">
        <v>8</v>
      </c>
      <c r="V37" s="12" t="s">
        <v>97</v>
      </c>
      <c r="W37" s="99">
        <v>52</v>
      </c>
      <c r="X37" s="15"/>
      <c r="Z37" s="25" t="s">
        <v>189</v>
      </c>
      <c r="AA37" s="5">
        <f>IF(B11=25, 0.575, IF(B11=50, 0.325, IF(B11=125, 0.25, IF(B11=200, 0.25, ""))))</f>
        <v>0.32500000000000001</v>
      </c>
      <c r="AB37" s="3" t="s">
        <v>21</v>
      </c>
      <c r="AG37"/>
      <c r="AH37"/>
      <c r="AI37"/>
      <c r="AJ37"/>
      <c r="AK37" s="10"/>
      <c r="AL37" s="10"/>
    </row>
    <row r="38" spans="1:150" hidden="1" x14ac:dyDescent="0.55000000000000004">
      <c r="A38" s="3"/>
      <c r="K38" s="5"/>
      <c r="L38" s="5"/>
      <c r="Q38" s="6">
        <f t="shared" si="0"/>
        <v>85</v>
      </c>
      <c r="T38" s="4" t="str">
        <f t="shared" si="1"/>
        <v>161,1</v>
      </c>
      <c r="U38" s="14">
        <v>16</v>
      </c>
      <c r="V38" s="12" t="s">
        <v>92</v>
      </c>
      <c r="W38" s="99">
        <v>61.8</v>
      </c>
      <c r="X38" s="15"/>
      <c r="Z38" s="47" t="s">
        <v>103</v>
      </c>
      <c r="AA38" s="24" t="s">
        <v>6</v>
      </c>
      <c r="AB38" s="24" t="s">
        <v>4</v>
      </c>
      <c r="AG38"/>
      <c r="AH38"/>
      <c r="AI38"/>
      <c r="AJ38"/>
      <c r="AK38" s="10"/>
      <c r="AL38" s="10"/>
    </row>
    <row r="39" spans="1:150" hidden="1" x14ac:dyDescent="0.55000000000000004">
      <c r="A39" s="3"/>
      <c r="K39" s="5"/>
      <c r="L39" s="5"/>
      <c r="Q39" s="6">
        <f t="shared" si="0"/>
        <v>90</v>
      </c>
      <c r="T39" s="4" t="str">
        <f t="shared" si="1"/>
        <v>162,2</v>
      </c>
      <c r="U39" s="14">
        <v>16</v>
      </c>
      <c r="V39" s="12" t="s">
        <v>93</v>
      </c>
      <c r="W39" s="100">
        <v>52.2</v>
      </c>
      <c r="X39" s="16"/>
      <c r="Z39" s="25" t="s">
        <v>104</v>
      </c>
      <c r="AA39" s="46">
        <f>B3*IF(B3&gt;6.01,AA23,AA22)/1000</f>
        <v>0.2</v>
      </c>
      <c r="AB39" s="3"/>
      <c r="AG39"/>
      <c r="AH39"/>
      <c r="AI39"/>
      <c r="AJ39"/>
      <c r="AK39" s="10"/>
      <c r="AL39" s="10"/>
    </row>
    <row r="40" spans="1:150" hidden="1" x14ac:dyDescent="0.55000000000000004">
      <c r="A40" s="3"/>
      <c r="K40" s="5"/>
      <c r="L40" s="5"/>
      <c r="Q40" s="6">
        <f t="shared" si="0"/>
        <v>95</v>
      </c>
      <c r="T40" s="4" t="str">
        <f t="shared" si="1"/>
        <v>161,1,1,1</v>
      </c>
      <c r="U40" s="14">
        <v>16</v>
      </c>
      <c r="V40" s="12" t="s">
        <v>96</v>
      </c>
      <c r="W40" s="99">
        <v>45.4</v>
      </c>
      <c r="X40" s="15"/>
      <c r="Z40" s="25"/>
      <c r="AA40" s="3"/>
      <c r="AB40" s="3"/>
      <c r="AG40"/>
      <c r="AH40"/>
      <c r="AI40"/>
      <c r="AJ40"/>
      <c r="AK40" s="10"/>
      <c r="AL40" s="10"/>
    </row>
    <row r="41" spans="1:150" hidden="1" x14ac:dyDescent="0.55000000000000004">
      <c r="A41" s="3"/>
      <c r="K41" s="5"/>
      <c r="L41" s="5"/>
      <c r="Q41" s="6">
        <f t="shared" si="0"/>
        <v>100</v>
      </c>
      <c r="T41" s="4" t="str">
        <f t="shared" si="1"/>
        <v>162,1,1,2</v>
      </c>
      <c r="U41" s="14">
        <v>16</v>
      </c>
      <c r="V41" s="12" t="s">
        <v>97</v>
      </c>
      <c r="W41" s="99">
        <v>42.4</v>
      </c>
      <c r="X41" s="15"/>
      <c r="Z41" s="47" t="s">
        <v>105</v>
      </c>
      <c r="AA41" s="24" t="s">
        <v>6</v>
      </c>
      <c r="AB41" s="24" t="s">
        <v>4</v>
      </c>
      <c r="AG41"/>
      <c r="AH41"/>
      <c r="AI41"/>
      <c r="AJ41"/>
      <c r="AK41" s="10"/>
      <c r="AL41" s="10"/>
    </row>
    <row r="42" spans="1:150" hidden="1" x14ac:dyDescent="0.55000000000000004">
      <c r="A42" s="3"/>
      <c r="K42" s="5"/>
      <c r="L42" s="5"/>
      <c r="Q42" s="6">
        <f t="shared" si="0"/>
        <v>105</v>
      </c>
      <c r="T42" s="4" t="str">
        <f t="shared" si="1"/>
        <v>321,1</v>
      </c>
      <c r="U42" s="14">
        <v>32</v>
      </c>
      <c r="V42" s="12" t="s">
        <v>92</v>
      </c>
      <c r="W42" s="99">
        <v>57.4</v>
      </c>
      <c r="X42" s="15"/>
      <c r="Z42" s="48" t="s">
        <v>106</v>
      </c>
      <c r="AA42" s="45">
        <f>ROUND(2*AA35*AA35*AK23/(1000),3)</f>
        <v>1.27</v>
      </c>
      <c r="AB42" s="3" t="s">
        <v>10</v>
      </c>
      <c r="AC42" s="44" t="s">
        <v>107</v>
      </c>
      <c r="AG42"/>
      <c r="AH42"/>
      <c r="AI42"/>
      <c r="AJ42"/>
      <c r="AK42" s="10"/>
      <c r="AL42" s="10"/>
    </row>
    <row r="43" spans="1:150" hidden="1" x14ac:dyDescent="0.55000000000000004">
      <c r="A43" s="3"/>
      <c r="K43" s="5"/>
      <c r="L43" s="5"/>
      <c r="Q43" s="6">
        <f t="shared" si="0"/>
        <v>110</v>
      </c>
      <c r="T43" s="4" t="str">
        <f t="shared" si="1"/>
        <v>322,2</v>
      </c>
      <c r="U43" s="14">
        <v>32</v>
      </c>
      <c r="V43" s="12" t="s">
        <v>93</v>
      </c>
      <c r="W43" s="100">
        <v>46.7</v>
      </c>
      <c r="X43" s="15"/>
      <c r="Z43" s="48" t="s">
        <v>108</v>
      </c>
      <c r="AA43" s="46">
        <f>ROUND(B3*AA35*AA36/1000000*B10*1000,3)</f>
        <v>0.39200000000000002</v>
      </c>
      <c r="AB43" s="3" t="s">
        <v>10</v>
      </c>
      <c r="AC43" s="44" t="s">
        <v>109</v>
      </c>
      <c r="AG43"/>
      <c r="AH43"/>
      <c r="AI43"/>
      <c r="AJ43"/>
      <c r="AK43" s="10"/>
      <c r="AL43" s="10"/>
    </row>
    <row r="44" spans="1:150" hidden="1" x14ac:dyDescent="0.55000000000000004">
      <c r="A44" s="3"/>
      <c r="K44" s="5"/>
      <c r="L44" s="5"/>
      <c r="Q44" s="6">
        <f t="shared" si="0"/>
        <v>115</v>
      </c>
      <c r="T44" s="4" t="str">
        <f t="shared" si="1"/>
        <v>321,1,1,1</v>
      </c>
      <c r="U44" s="14">
        <v>32</v>
      </c>
      <c r="V44" s="12" t="s">
        <v>96</v>
      </c>
      <c r="W44" s="99">
        <v>39.799999999999997</v>
      </c>
      <c r="X44" s="15"/>
      <c r="Z44" s="48" t="s">
        <v>110</v>
      </c>
      <c r="AA44" s="46">
        <f>AA29*5*B10*0.000000001*1000</f>
        <v>1E-4</v>
      </c>
      <c r="AB44" s="3" t="s">
        <v>10</v>
      </c>
      <c r="AC44" s="43" t="s">
        <v>111</v>
      </c>
      <c r="AG44"/>
      <c r="AH44"/>
      <c r="AI44"/>
      <c r="AJ44"/>
      <c r="AK44" s="10"/>
      <c r="AL44" s="10"/>
    </row>
    <row r="45" spans="1:150" hidden="1" x14ac:dyDescent="0.55000000000000004">
      <c r="A45" s="3"/>
      <c r="K45" s="5"/>
      <c r="L45" s="5"/>
      <c r="Q45" s="6">
        <f t="shared" si="0"/>
        <v>120</v>
      </c>
      <c r="T45" s="4" t="str">
        <f t="shared" si="1"/>
        <v>322,1,1,2</v>
      </c>
      <c r="U45" s="14">
        <v>32</v>
      </c>
      <c r="V45" s="12" t="s">
        <v>97</v>
      </c>
      <c r="W45" s="99">
        <v>36.6</v>
      </c>
      <c r="X45" s="15"/>
      <c r="Z45" s="48" t="s">
        <v>112</v>
      </c>
      <c r="AA45" s="45">
        <f>AA42+AA43+AA44</f>
        <v>1.6620999999999999</v>
      </c>
      <c r="AB45" s="3" t="s">
        <v>10</v>
      </c>
      <c r="AG45"/>
      <c r="AH45"/>
      <c r="AI45"/>
      <c r="AJ45"/>
      <c r="AK45" s="10"/>
      <c r="AL45" s="10"/>
    </row>
    <row r="46" spans="1:150" hidden="1" x14ac:dyDescent="0.55000000000000004">
      <c r="A46" s="3"/>
      <c r="K46" s="5"/>
      <c r="L46" s="5"/>
      <c r="Q46" s="6">
        <f t="shared" si="0"/>
        <v>125</v>
      </c>
      <c r="T46" s="4" t="str">
        <f t="shared" si="1"/>
        <v>641,1</v>
      </c>
      <c r="U46" s="14">
        <v>64</v>
      </c>
      <c r="V46" s="12" t="s">
        <v>92</v>
      </c>
      <c r="W46" s="99">
        <v>55.1</v>
      </c>
      <c r="X46" s="15"/>
      <c r="Z46" s="49" t="s">
        <v>113</v>
      </c>
      <c r="AA46" s="55">
        <f>2*0.7*AA35*B10*1000*AA37/1000000</f>
        <v>2.2303921568627452E-2</v>
      </c>
      <c r="AB46" s="3" t="s">
        <v>10</v>
      </c>
      <c r="AC46" s="44" t="s">
        <v>114</v>
      </c>
      <c r="AG46"/>
      <c r="AH46"/>
      <c r="AI46"/>
      <c r="AJ46"/>
      <c r="AK46" s="10"/>
      <c r="AL46" s="10"/>
    </row>
    <row r="47" spans="1:150" hidden="1" x14ac:dyDescent="0.55000000000000004">
      <c r="A47" s="3"/>
      <c r="K47" s="5"/>
      <c r="L47" s="5"/>
      <c r="Q47" s="6">
        <f t="shared" si="0"/>
        <v>130</v>
      </c>
      <c r="T47" s="4" t="str">
        <f t="shared" si="1"/>
        <v>642,2</v>
      </c>
      <c r="U47" s="14">
        <v>64</v>
      </c>
      <c r="V47" s="12" t="s">
        <v>93</v>
      </c>
      <c r="W47" s="100">
        <v>43.5</v>
      </c>
      <c r="X47" s="15"/>
      <c r="Z47" s="50" t="s">
        <v>115</v>
      </c>
      <c r="AA47" s="55">
        <f>(B3-3.3)*B12*0.001</f>
        <v>0</v>
      </c>
      <c r="AB47" s="3" t="s">
        <v>10</v>
      </c>
      <c r="AC47" s="43" t="s">
        <v>116</v>
      </c>
      <c r="AG47"/>
      <c r="AH47"/>
      <c r="AI47"/>
      <c r="AJ47"/>
      <c r="AK47" s="10"/>
      <c r="AL47" s="10"/>
    </row>
    <row r="48" spans="1:150" hidden="1" x14ac:dyDescent="0.55000000000000004">
      <c r="A48" s="3"/>
      <c r="K48" s="5"/>
      <c r="L48" s="5"/>
      <c r="Q48" s="6">
        <f t="shared" si="0"/>
        <v>135</v>
      </c>
      <c r="T48" s="4" t="str">
        <f t="shared" si="1"/>
        <v>641,1,1,1</v>
      </c>
      <c r="U48" s="14">
        <v>64</v>
      </c>
      <c r="V48" s="12" t="s">
        <v>96</v>
      </c>
      <c r="W48" s="99">
        <v>36.299999999999997</v>
      </c>
      <c r="X48" s="15"/>
      <c r="Z48" s="49" t="s">
        <v>117</v>
      </c>
      <c r="AA48" s="55">
        <v>0</v>
      </c>
      <c r="AB48" s="3" t="s">
        <v>10</v>
      </c>
      <c r="AC48" t="s">
        <v>118</v>
      </c>
      <c r="AG48"/>
      <c r="AH48"/>
      <c r="AI48"/>
      <c r="AJ48"/>
      <c r="AK48" s="10"/>
      <c r="AL48" s="10"/>
    </row>
    <row r="49" spans="1:150" hidden="1" x14ac:dyDescent="0.55000000000000004">
      <c r="A49" s="24"/>
      <c r="B49" s="24"/>
      <c r="C49" s="24"/>
      <c r="F49" s="5"/>
      <c r="K49" s="5"/>
      <c r="L49" s="5"/>
      <c r="Q49" s="6">
        <f t="shared" si="0"/>
        <v>140</v>
      </c>
      <c r="T49" s="4" t="str">
        <f t="shared" si="1"/>
        <v>642,1,1,2</v>
      </c>
      <c r="U49" s="36">
        <v>64</v>
      </c>
      <c r="V49" s="37" t="s">
        <v>97</v>
      </c>
      <c r="W49" s="101">
        <v>32.9</v>
      </c>
      <c r="X49" s="38"/>
      <c r="Z49" s="25"/>
      <c r="AA49" s="3"/>
      <c r="AB49" s="3"/>
      <c r="AG49"/>
      <c r="AH49"/>
      <c r="AI49"/>
      <c r="AJ49"/>
      <c r="AK49" s="10"/>
      <c r="AL49" s="10"/>
    </row>
    <row r="50" spans="1:150" hidden="1" x14ac:dyDescent="0.55000000000000004">
      <c r="A50" s="25"/>
      <c r="E50" s="3"/>
      <c r="F50" s="3"/>
      <c r="K50" s="5"/>
      <c r="L50" s="5"/>
      <c r="Q50" s="6">
        <f t="shared" si="0"/>
        <v>145</v>
      </c>
      <c r="T50" s="40" t="str">
        <f t="shared" si="1"/>
        <v>43,1,1,3</v>
      </c>
      <c r="U50" s="39">
        <v>4</v>
      </c>
      <c r="V50" s="12" t="s">
        <v>119</v>
      </c>
      <c r="W50" s="99">
        <v>65.599999999999994</v>
      </c>
      <c r="X50" s="41"/>
      <c r="Z50" s="51" t="s">
        <v>39</v>
      </c>
      <c r="AA50" s="51" t="s">
        <v>6</v>
      </c>
      <c r="AB50" s="51" t="s">
        <v>4</v>
      </c>
      <c r="AG50"/>
      <c r="AH50"/>
      <c r="AI50"/>
      <c r="AJ50"/>
      <c r="AK50" s="10"/>
      <c r="AL50" s="10"/>
    </row>
    <row r="51" spans="1:150" hidden="1" x14ac:dyDescent="0.55000000000000004">
      <c r="A51" s="3"/>
      <c r="F51" s="5"/>
      <c r="Q51" s="6">
        <f t="shared" si="0"/>
        <v>150</v>
      </c>
      <c r="T51" s="40" t="str">
        <f t="shared" si="1"/>
        <v>83,1,1,3</v>
      </c>
      <c r="U51" s="39">
        <v>8</v>
      </c>
      <c r="V51" s="12" t="s">
        <v>119</v>
      </c>
      <c r="W51" s="99">
        <v>50.5</v>
      </c>
      <c r="X51" s="41"/>
      <c r="Z51" s="4" t="s">
        <v>177</v>
      </c>
      <c r="AG51"/>
      <c r="AH51"/>
      <c r="AI51"/>
      <c r="AJ51"/>
      <c r="AK51" s="10"/>
      <c r="AL51" s="10"/>
    </row>
    <row r="52" spans="1:150" hidden="1" x14ac:dyDescent="0.55000000000000004">
      <c r="A52" s="23"/>
      <c r="K52" s="5"/>
      <c r="Q52" s="6">
        <f t="shared" si="0"/>
        <v>155</v>
      </c>
      <c r="T52" s="40" t="str">
        <f t="shared" si="1"/>
        <v>163,1,1,3</v>
      </c>
      <c r="U52" s="39">
        <v>16</v>
      </c>
      <c r="V52" s="12" t="s">
        <v>119</v>
      </c>
      <c r="W52" s="99">
        <v>40.700000000000003</v>
      </c>
      <c r="X52" s="41"/>
      <c r="Z52" s="25" t="s">
        <v>121</v>
      </c>
      <c r="AA52" s="3">
        <f>B8*B9</f>
        <v>0</v>
      </c>
      <c r="AB52" s="3" t="s">
        <v>8</v>
      </c>
      <c r="AC52" s="10"/>
      <c r="AG52"/>
      <c r="AH52"/>
      <c r="AI52"/>
      <c r="AJ52"/>
      <c r="AK52" s="10"/>
      <c r="AL52" s="10"/>
      <c r="ET52" s="4"/>
    </row>
    <row r="53" spans="1:150" ht="43.2" hidden="1" x14ac:dyDescent="0.55000000000000004">
      <c r="A53" s="24"/>
      <c r="B53" s="24"/>
      <c r="C53" s="24"/>
      <c r="G53" s="4"/>
      <c r="Q53" s="6">
        <f t="shared" si="0"/>
        <v>160</v>
      </c>
      <c r="T53" s="40" t="str">
        <f t="shared" si="1"/>
        <v>323,1,1,3</v>
      </c>
      <c r="U53" s="39">
        <v>32</v>
      </c>
      <c r="V53" s="12" t="s">
        <v>119</v>
      </c>
      <c r="W53" s="99">
        <v>34.700000000000003</v>
      </c>
      <c r="X53" s="41"/>
      <c r="Z53" s="28" t="s">
        <v>122</v>
      </c>
      <c r="AA53" s="8">
        <f>IF(B6=0,IF(B5="Wye",(AA35*3*B7*1000)/(B3+(2*AA52)),(AA35*B7*1000)/(B3+AA52)),B6)</f>
        <v>300</v>
      </c>
      <c r="AB53" s="8" t="s">
        <v>21</v>
      </c>
      <c r="AC53" s="50" t="s">
        <v>123</v>
      </c>
      <c r="AD53" s="10"/>
      <c r="AG53"/>
      <c r="AH53"/>
      <c r="AI53"/>
      <c r="AJ53"/>
      <c r="AK53" s="10"/>
      <c r="AL53" s="10"/>
      <c r="ET53" s="4"/>
    </row>
    <row r="54" spans="1:150" s="4" customFormat="1" ht="43.5" hidden="1" thickBot="1" x14ac:dyDescent="0.6">
      <c r="A54" s="25"/>
      <c r="D54" s="7"/>
      <c r="E54" s="7"/>
      <c r="H54"/>
      <c r="I54"/>
      <c r="J54"/>
      <c r="K54"/>
      <c r="L54"/>
      <c r="M54"/>
      <c r="N54"/>
      <c r="O54"/>
      <c r="P54"/>
      <c r="Q54" s="6">
        <f t="shared" si="0"/>
        <v>165</v>
      </c>
      <c r="R54"/>
      <c r="S54"/>
      <c r="T54" s="40" t="str">
        <f t="shared" si="1"/>
        <v>643,1,1,3</v>
      </c>
      <c r="U54" s="105">
        <v>64</v>
      </c>
      <c r="V54" s="37" t="s">
        <v>119</v>
      </c>
      <c r="W54" s="101">
        <v>30.9</v>
      </c>
      <c r="X54" s="42"/>
      <c r="Y54"/>
      <c r="Z54" s="25" t="s">
        <v>125</v>
      </c>
      <c r="AA54" s="3">
        <f>6*(1/2)*0.7*AA35*AA53/1000000*B9</f>
        <v>0.15441176470588233</v>
      </c>
      <c r="AB54" s="3" t="s">
        <v>10</v>
      </c>
      <c r="AC54" s="45" t="s">
        <v>126</v>
      </c>
      <c r="AD54" s="52" t="s">
        <v>124</v>
      </c>
      <c r="AE54"/>
      <c r="AF54" s="53"/>
      <c r="AG54"/>
      <c r="AH54"/>
      <c r="AI54"/>
      <c r="AJ54"/>
      <c r="AK54" s="10"/>
      <c r="AL54" s="10"/>
      <c r="AM54"/>
      <c r="ET54"/>
    </row>
    <row r="55" spans="1:150" s="4" customFormat="1" hidden="1" x14ac:dyDescent="0.55000000000000004">
      <c r="A55" s="24"/>
      <c r="B55" s="24"/>
      <c r="C55" s="24"/>
      <c r="D55" s="7"/>
      <c r="E55" s="7"/>
      <c r="G55"/>
      <c r="H55"/>
      <c r="I55"/>
      <c r="J55"/>
      <c r="Q55" s="6">
        <f t="shared" si="0"/>
        <v>170</v>
      </c>
      <c r="Z55" s="25" t="s">
        <v>178</v>
      </c>
      <c r="AA55" s="56">
        <f>AA54</f>
        <v>0.15441176470588233</v>
      </c>
      <c r="AB55" s="3" t="s">
        <v>10</v>
      </c>
      <c r="AC55" s="48"/>
      <c r="AD55" s="54"/>
      <c r="AF55" s="54"/>
      <c r="AM55"/>
      <c r="ET55"/>
    </row>
    <row r="56" spans="1:150" hidden="1" x14ac:dyDescent="0.55000000000000004">
      <c r="A56" s="24"/>
      <c r="K56" s="4"/>
      <c r="L56" s="4"/>
      <c r="M56" s="4"/>
      <c r="N56" s="4"/>
      <c r="O56" s="4"/>
      <c r="P56" s="4"/>
      <c r="Q56" s="6">
        <f t="shared" si="0"/>
        <v>175</v>
      </c>
      <c r="R56" s="4"/>
      <c r="S56" s="4"/>
      <c r="T56" s="4"/>
      <c r="U56" s="4"/>
      <c r="V56" s="4"/>
      <c r="W56" s="4"/>
      <c r="X56" s="4"/>
      <c r="Y56" s="4"/>
      <c r="AD56" s="54"/>
      <c r="AE56" s="4"/>
      <c r="AF56" s="54"/>
      <c r="AG56" s="4"/>
      <c r="AH56" s="4"/>
      <c r="AI56" s="4"/>
      <c r="AJ56" s="4"/>
      <c r="AK56" s="4"/>
      <c r="AL56" s="4"/>
    </row>
    <row r="57" spans="1:150" hidden="1" x14ac:dyDescent="0.55000000000000004">
      <c r="A57" s="3"/>
      <c r="Q57" s="6">
        <f t="shared" si="0"/>
        <v>180</v>
      </c>
      <c r="AG57"/>
      <c r="AH57"/>
      <c r="AI57"/>
      <c r="AJ57"/>
      <c r="AK57" s="10"/>
      <c r="AL57" s="10"/>
      <c r="EN57" s="10"/>
      <c r="EO57" s="10"/>
      <c r="EP57" s="10"/>
      <c r="EQ57" s="10"/>
    </row>
    <row r="58" spans="1:150" hidden="1" x14ac:dyDescent="0.55000000000000004">
      <c r="A58" s="3"/>
      <c r="Q58" s="6">
        <f t="shared" si="0"/>
        <v>185</v>
      </c>
      <c r="AG58"/>
      <c r="AH58"/>
      <c r="AI58"/>
      <c r="AJ58"/>
      <c r="EN58" s="10"/>
      <c r="EO58" s="10"/>
      <c r="EP58" s="10"/>
      <c r="EQ58" s="10"/>
    </row>
    <row r="59" spans="1:150" hidden="1" x14ac:dyDescent="0.55000000000000004">
      <c r="A59" s="3"/>
      <c r="Q59" s="6">
        <f t="shared" si="0"/>
        <v>190</v>
      </c>
      <c r="AG59"/>
      <c r="AH59"/>
      <c r="AI59"/>
      <c r="AJ59"/>
      <c r="EN59" s="10"/>
      <c r="EO59" s="10"/>
      <c r="EP59" s="10"/>
      <c r="EQ59" s="10"/>
    </row>
    <row r="60" spans="1:150" hidden="1" x14ac:dyDescent="0.55000000000000004">
      <c r="A60" s="3"/>
      <c r="Q60" s="6">
        <f t="shared" si="0"/>
        <v>195</v>
      </c>
      <c r="AG60"/>
      <c r="AH60"/>
      <c r="AI60"/>
      <c r="AJ60"/>
      <c r="EN60" s="10"/>
      <c r="EO60" s="10"/>
      <c r="EP60" s="10"/>
      <c r="EQ60" s="10"/>
    </row>
    <row r="61" spans="1:150" hidden="1" x14ac:dyDescent="0.55000000000000004">
      <c r="A61" s="3"/>
      <c r="Q61" s="6">
        <f t="shared" si="0"/>
        <v>200</v>
      </c>
      <c r="EL61" s="10"/>
      <c r="EM61" s="10"/>
      <c r="EN61" s="10"/>
      <c r="EO61" s="10"/>
    </row>
    <row r="62" spans="1:150" hidden="1" x14ac:dyDescent="0.55000000000000004">
      <c r="A62" s="3"/>
      <c r="Q62" s="6"/>
      <c r="EL62" s="10"/>
      <c r="EM62" s="10"/>
      <c r="EN62" s="10"/>
      <c r="EO62" s="10"/>
    </row>
    <row r="63" spans="1:150" hidden="1" x14ac:dyDescent="0.55000000000000004">
      <c r="A63" s="3"/>
      <c r="Q63" s="6"/>
      <c r="EL63" s="10"/>
      <c r="EM63" s="10"/>
      <c r="EN63" s="10"/>
      <c r="EO63" s="10"/>
    </row>
    <row r="64" spans="1:150" hidden="1" x14ac:dyDescent="0.55000000000000004">
      <c r="A64" s="3"/>
      <c r="Q64" s="6"/>
    </row>
    <row r="65" spans="1:150" ht="43.5" hidden="1" customHeight="1" x14ac:dyDescent="0.55000000000000004">
      <c r="A65" s="3"/>
      <c r="Q65" s="6"/>
    </row>
    <row r="66" spans="1:150" hidden="1" x14ac:dyDescent="0.55000000000000004">
      <c r="A66" s="3"/>
      <c r="Q66" s="6"/>
    </row>
    <row r="67" spans="1:150" hidden="1" x14ac:dyDescent="0.55000000000000004">
      <c r="A67" s="3"/>
      <c r="Q67" s="6"/>
    </row>
    <row r="68" spans="1:150" hidden="1" x14ac:dyDescent="0.55000000000000004">
      <c r="A68" s="3"/>
      <c r="Q68" s="6"/>
    </row>
    <row r="69" spans="1:150" hidden="1" x14ac:dyDescent="0.55000000000000004">
      <c r="A69" s="3"/>
      <c r="Q69" s="6"/>
    </row>
    <row r="70" spans="1:150" hidden="1" x14ac:dyDescent="0.55000000000000004">
      <c r="A70" s="3"/>
      <c r="Q70" s="6"/>
    </row>
    <row r="71" spans="1:150" hidden="1" x14ac:dyDescent="0.55000000000000004">
      <c r="A71" s="3"/>
      <c r="Q71" s="6"/>
    </row>
    <row r="72" spans="1:150" hidden="1" x14ac:dyDescent="0.55000000000000004">
      <c r="A72" s="3"/>
      <c r="Q72" s="6"/>
    </row>
    <row r="73" spans="1:150" hidden="1" x14ac:dyDescent="0.55000000000000004">
      <c r="A73" s="3"/>
      <c r="Q73" s="6"/>
    </row>
    <row r="74" spans="1:150" hidden="1" x14ac:dyDescent="0.55000000000000004">
      <c r="A74" s="3"/>
      <c r="Q74" s="6"/>
    </row>
    <row r="75" spans="1:150" hidden="1" x14ac:dyDescent="0.55000000000000004">
      <c r="A75" s="3"/>
      <c r="Q75" s="6"/>
    </row>
    <row r="76" spans="1:150" hidden="1" x14ac:dyDescent="0.55000000000000004">
      <c r="A76" s="3"/>
      <c r="Q76" s="6"/>
    </row>
    <row r="77" spans="1:150" hidden="1" x14ac:dyDescent="0.55000000000000004">
      <c r="A77" s="3"/>
      <c r="Q77" s="6"/>
    </row>
    <row r="78" spans="1:150" hidden="1" x14ac:dyDescent="0.55000000000000004">
      <c r="A78" s="3"/>
      <c r="Q78" s="6"/>
    </row>
    <row r="79" spans="1:150" hidden="1" x14ac:dyDescent="0.55000000000000004">
      <c r="A79" s="3"/>
      <c r="Q79" s="6"/>
    </row>
    <row r="80" spans="1:150" s="10" customFormat="1" hidden="1" x14ac:dyDescent="0.55000000000000004">
      <c r="A80" s="3"/>
      <c r="B80" s="3"/>
      <c r="C80" s="3"/>
      <c r="D80" s="5"/>
      <c r="E80" s="5"/>
      <c r="F80"/>
      <c r="G80"/>
      <c r="H80"/>
      <c r="I80"/>
      <c r="J80"/>
      <c r="K80"/>
      <c r="L80"/>
      <c r="M80"/>
      <c r="N80"/>
      <c r="O80"/>
      <c r="P80"/>
      <c r="Q80" s="6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</row>
    <row r="81" spans="1:150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 s="6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</row>
    <row r="82" spans="1:150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 s="6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</row>
    <row r="83" spans="1:150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 s="6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</row>
    <row r="84" spans="1:150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 s="6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</row>
    <row r="85" spans="1:150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 s="6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</row>
    <row r="86" spans="1:150" s="10" customFormat="1" hidden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 s="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</row>
    <row r="87" spans="1:150" s="10" customFormat="1" hidden="1" x14ac:dyDescent="0.55000000000000004">
      <c r="A87" s="3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</row>
    <row r="88" spans="1:150" s="10" customFormat="1" hidden="1" x14ac:dyDescent="0.55000000000000004">
      <c r="A88" s="3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</row>
    <row r="89" spans="1:150" s="10" customFormat="1" hidden="1" x14ac:dyDescent="0.55000000000000004">
      <c r="A89" s="3"/>
      <c r="B89" s="3"/>
      <c r="C89" s="3"/>
      <c r="D89" s="5"/>
      <c r="E89" s="5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</row>
    <row r="90" spans="1:150" s="10" customFormat="1" hidden="1" x14ac:dyDescent="0.55000000000000004">
      <c r="A90" s="3"/>
      <c r="B90" s="3"/>
      <c r="C90" s="3"/>
      <c r="D90" s="5"/>
      <c r="E90" s="5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</row>
    <row r="91" spans="1:150" s="10" customFormat="1" hidden="1" x14ac:dyDescent="0.55000000000000004">
      <c r="A91" s="2"/>
      <c r="B91" s="3"/>
      <c r="C91" s="3"/>
      <c r="D91" s="5"/>
      <c r="E91" s="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 s="5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</row>
    <row r="92" spans="1:150" s="10" customFormat="1" hidden="1" x14ac:dyDescent="0.55000000000000004">
      <c r="A92" s="2"/>
      <c r="B92" s="3"/>
      <c r="C92" s="3"/>
      <c r="D92" s="5"/>
      <c r="E92" s="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 s="5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</row>
    <row r="93" spans="1:150" s="10" customFormat="1" hidden="1" x14ac:dyDescent="0.55000000000000004">
      <c r="A93" s="2"/>
      <c r="B93" s="3"/>
      <c r="C93" s="3"/>
      <c r="D93" s="5"/>
      <c r="E93" s="5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 s="5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</row>
  </sheetData>
  <sheetProtection algorithmName="SHA-512" hashValue="J4OVjGInwYyeu+8KAS7pQ79YKQ7ingCXg88dFqEBcG2ozXH0V/Dye2hviGNyZaLG7r87epMcjDwjhB6qqISPNQ==" saltValue="BlPxJ/qubpn74wJNBADGRQ==" spinCount="100000" sheet="1" objects="1" scenarios="1"/>
  <mergeCells count="2">
    <mergeCell ref="B1:F1"/>
    <mergeCell ref="A18:C18"/>
  </mergeCells>
  <conditionalFormatting sqref="E4">
    <cfRule type="cellIs" dxfId="9" priority="1" operator="lessThan">
      <formula>125</formula>
    </cfRule>
    <cfRule type="cellIs" dxfId="8" priority="2" operator="greaterThan">
      <formula>125</formula>
    </cfRule>
  </conditionalFormatting>
  <dataValidations count="18">
    <dataValidation type="decimal" allowBlank="1" showInputMessage="1" showErrorMessage="1" error="This current is outside the operating range of the DRV8316" prompt="Enter an RMS current between 0 and 4.08 amps" sqref="B4" xr:uid="{087F5BEF-20A5-4CCC-A875-7A1ED0D1D08A}">
      <formula1>0</formula1>
      <formula2>4.08</formula2>
    </dataValidation>
    <dataValidation type="list" allowBlank="1" showInputMessage="1" showErrorMessage="1" prompt="Select copper thickness of top/bottom layers (oz)" sqref="AA30 AI22" xr:uid="{F621EE4D-519E-4C94-AE05-51EF04EDAC93}">
      <formula1>$L$23:$L$24</formula1>
    </dataValidation>
    <dataValidation type="list" allowBlank="1" showInputMessage="1" showErrorMessage="1" prompt="Select copper thickness of internal layers if more than 2 layer PCB (oz)" sqref="AA30" xr:uid="{97A43F6F-4ACD-4284-A0AB-98F018FB758A}">
      <formula1>$M$23:$M$24</formula1>
    </dataValidation>
    <dataValidation type="decimal" allowBlank="1" showInputMessage="1" showErrorMessage="1" error="This voltage is outside the operating range of the DRV8316" prompt="Enter a motor supply voltage between 4.5 to 20 volts" sqref="B3" xr:uid="{A34E78EC-733A-4732-9103-BC7ADD44284F}">
      <formula1>4.5</formula1>
      <formula2>20</formula2>
    </dataValidation>
    <dataValidation allowBlank="1" showInputMessage="1" showErrorMessage="1" prompt="Enter the operating ambient temperature" sqref="AA28" xr:uid="{3EE3E37E-F4EC-4C28-9C3B-59EA9B6AFC5A}"/>
    <dataValidation allowBlank="1" showInputMessage="1" showErrorMessage="1" prompt="Enter the motor's electrical frequency in Hz" sqref="B9" xr:uid="{C447ECEB-0181-460F-A873-C290617BB1F8}"/>
    <dataValidation allowBlank="1" showInputMessage="1" showErrorMessage="1" prompt="Enter the motor phase's Back-EMF constant (Ke_ph)" sqref="B8" xr:uid="{B40433F7-E916-44A8-8101-2CCEDB83F821}"/>
    <dataValidation allowBlank="1" showInputMessage="1" showErrorMessage="1" prompt="Enter the motor's phase inductance in mH" sqref="B7" xr:uid="{651C1A49-8D02-492D-88B4-74DC8C64CEEF}"/>
    <dataValidation allowBlank="1" showInputMessage="1" showErrorMessage="1" prompt="Enter the motor's commutation time (tcomm) as shown on the diagram to the right. If unknown, enter &quot;0&quot;" sqref="B6" xr:uid="{9E3B7E5C-7C3C-41FC-817B-F7E434531692}"/>
    <dataValidation type="list" allowBlank="1" showInputMessage="1" showErrorMessage="1" prompt="Select copper thickness of top/bottom layers (oz)" sqref="B17" xr:uid="{1C3259FF-9A34-4565-A407-719655E486CA}">
      <formula1>$N$23:$N$27</formula1>
    </dataValidation>
    <dataValidation type="list" allowBlank="1" showInputMessage="1" showErrorMessage="1" error="This PWM frequency is outside of the operating range of the DRV8316" prompt="Select a PWM frequency between 10kHz and 200kHz" sqref="B10" xr:uid="{FEA95A69-94A3-414F-BB88-949923C40F11}">
      <formula1>$Q$23:$Q$61</formula1>
    </dataValidation>
    <dataValidation type="list" allowBlank="1" showInputMessage="1" showErrorMessage="1" prompt="Select # of PCB Layers" sqref="B15" xr:uid="{471E8710-1DE8-4742-97A8-A0C6D43EEFF3}">
      <formula1>$K$23:$K$24</formula1>
    </dataValidation>
    <dataValidation type="list" allowBlank="1" showInputMessage="1" showErrorMessage="1" prompt="Select PCB area (cm2)" sqref="B17" xr:uid="{A325BD5E-7AC5-4701-BA1A-D2420EDDEC9C}">
      <formula1>$N$23:$N$27</formula1>
    </dataValidation>
    <dataValidation type="list" allowBlank="1" showInputMessage="1" showErrorMessage="1" prompt="Select an output slew rate setting (V/us)" sqref="B11" xr:uid="{89CEC504-CCFE-40F8-93A7-96119C4DB563}">
      <formula1>$O$23:$O$26</formula1>
    </dataValidation>
    <dataValidation type="list" allowBlank="1" showInputMessage="1" showErrorMessage="1" prompt="Select wye or delta motor configuration" sqref="B5" xr:uid="{F00CACFF-5D7F-496F-90A9-80050FACACC0}">
      <formula1>$R$23:$R$24</formula1>
    </dataValidation>
    <dataValidation type="list" allowBlank="1" showInputMessage="1" showErrorMessage="1" prompt="Select copper thickness of top/bottom layers (oz)" sqref="B16" xr:uid="{4E22758D-B5A7-4E2E-B973-ECDE44A20334}">
      <formula1>$L$23:$L$25</formula1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3" xr:uid="{3F145D7E-4D88-4ECB-8054-E7BD25A4B0EA}">
      <formula1>-40</formula1>
      <formula2>125</formula2>
    </dataValidation>
    <dataValidation type="decimal" allowBlank="1" showInputMessage="1" showErrorMessage="1" error="AVDD output current out of range" prompt="Enter the AVDD output load current between 0 to 60 mA" sqref="B12" xr:uid="{F4FF8317-65F1-453C-8095-5FCE035A9346}">
      <formula1>0</formula1>
      <formula2>60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9B94-D492-40D8-9413-EC997A0B854D}">
  <dimension ref="A1:AK87"/>
  <sheetViews>
    <sheetView zoomScale="55" zoomScaleNormal="55" workbookViewId="0">
      <selection activeCell="E3" sqref="E3"/>
    </sheetView>
  </sheetViews>
  <sheetFormatPr defaultColWidth="0" defaultRowHeight="14.4" zeroHeight="1" x14ac:dyDescent="0.55000000000000004"/>
  <cols>
    <col min="1" max="1" width="56.4726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/>
    <col min="8" max="8" width="28.5234375" hidden="1"/>
    <col min="9" max="9" width="24.5234375" hidden="1"/>
    <col min="10" max="10" width="10.47265625" hidden="1"/>
    <col min="11" max="13" width="10.5234375" hidden="1"/>
    <col min="14" max="14" width="14.5234375" hidden="1"/>
    <col min="15" max="15" width="13.7890625" hidden="1"/>
    <col min="16" max="16" width="8.5234375" hidden="1"/>
    <col min="17" max="17" width="14.5234375" hidden="1"/>
    <col min="18" max="18" width="19.47265625" hidden="1"/>
    <col min="19" max="19" width="12.47265625" hidden="1"/>
    <col min="20" max="20" width="19.7890625" hidden="1"/>
    <col min="21" max="21" width="19.15625" hidden="1"/>
    <col min="22" max="22" width="8.83984375" hidden="1"/>
    <col min="23" max="23" width="31.47265625" hidden="1"/>
    <col min="24" max="24" width="12.47265625" hidden="1"/>
    <col min="25" max="25" width="15.47265625" hidden="1"/>
    <col min="26" max="26" width="33" hidden="1"/>
    <col min="27" max="27" width="15.5234375" hidden="1"/>
    <col min="28" max="28" width="14.5234375" hidden="1"/>
    <col min="29" max="29" width="14.47265625" hidden="1"/>
    <col min="30" max="30" width="12.47265625" hidden="1"/>
    <col min="31" max="31" width="15.15625" hidden="1"/>
    <col min="32" max="32" width="13.47265625" hidden="1"/>
    <col min="33" max="33" width="15.47265625" hidden="1"/>
    <col min="34" max="34" width="13.47265625" style="10" hidden="1"/>
    <col min="35" max="35" width="10.47265625" style="10" hidden="1"/>
    <col min="36" max="36" width="16.7890625" style="10" hidden="1"/>
    <col min="37" max="37" width="16.5234375" style="10" hidden="1"/>
    <col min="38" max="16384" width="8.83984375" hidden="1"/>
  </cols>
  <sheetData>
    <row r="1" spans="1:37" ht="14.7" thickBot="1" x14ac:dyDescent="0.6">
      <c r="A1" s="142" t="s">
        <v>191</v>
      </c>
      <c r="B1" s="185" t="s">
        <v>182</v>
      </c>
      <c r="C1" s="185"/>
      <c r="D1" s="185"/>
      <c r="E1" s="185"/>
      <c r="F1" s="185"/>
    </row>
    <row r="2" spans="1:37" ht="14.5" customHeight="1" thickBot="1" x14ac:dyDescent="0.6">
      <c r="A2" s="106" t="s">
        <v>2</v>
      </c>
      <c r="B2" s="107" t="s">
        <v>183</v>
      </c>
      <c r="C2" s="108" t="s">
        <v>4</v>
      </c>
      <c r="D2" s="109" t="s">
        <v>5</v>
      </c>
      <c r="E2" s="110" t="s">
        <v>6</v>
      </c>
      <c r="F2" s="110" t="s">
        <v>4</v>
      </c>
    </row>
    <row r="3" spans="1:37" ht="14.5" customHeight="1" thickBot="1" x14ac:dyDescent="0.6">
      <c r="A3" s="86" t="s">
        <v>7</v>
      </c>
      <c r="B3" s="70">
        <v>12</v>
      </c>
      <c r="C3" s="112" t="s">
        <v>8</v>
      </c>
      <c r="D3" s="66" t="s">
        <v>9</v>
      </c>
      <c r="E3" s="113">
        <f>ROUND(IF(U20=-1,"n/a",$AH$18),2)</f>
        <v>2.31</v>
      </c>
      <c r="F3" s="112" t="s">
        <v>10</v>
      </c>
    </row>
    <row r="4" spans="1:37" ht="14.5" customHeight="1" thickBot="1" x14ac:dyDescent="0.6">
      <c r="A4" s="88" t="s">
        <v>140</v>
      </c>
      <c r="B4" s="71">
        <v>2.8708535316173824</v>
      </c>
      <c r="C4" s="115" t="s">
        <v>12</v>
      </c>
      <c r="D4" s="66" t="s">
        <v>13</v>
      </c>
      <c r="E4" s="3">
        <f>ROUND(IF(U20=-1,"n/a",$AH$19),2)</f>
        <v>96.28</v>
      </c>
      <c r="F4" s="112" t="s">
        <v>84</v>
      </c>
    </row>
    <row r="5" spans="1:37" ht="14.5" customHeight="1" x14ac:dyDescent="0.55000000000000004">
      <c r="A5" s="116" t="s">
        <v>141</v>
      </c>
      <c r="B5" s="114" t="s">
        <v>142</v>
      </c>
      <c r="C5" s="115"/>
      <c r="D5" s="117"/>
      <c r="E5" s="117"/>
      <c r="F5" s="117"/>
    </row>
    <row r="6" spans="1:37" ht="14.5" customHeight="1" x14ac:dyDescent="0.55000000000000004">
      <c r="A6" s="86" t="s">
        <v>24</v>
      </c>
      <c r="B6" s="70">
        <v>20</v>
      </c>
      <c r="C6" s="112" t="s">
        <v>25</v>
      </c>
    </row>
    <row r="7" spans="1:37" ht="14.5" customHeight="1" x14ac:dyDescent="0.55000000000000004">
      <c r="A7" s="92" t="s">
        <v>26</v>
      </c>
      <c r="B7" s="114">
        <v>200</v>
      </c>
      <c r="C7" s="115" t="s">
        <v>27</v>
      </c>
    </row>
    <row r="8" spans="1:37" ht="14.5" customHeight="1" x14ac:dyDescent="0.55000000000000004">
      <c r="A8" s="93" t="s">
        <v>28</v>
      </c>
      <c r="B8" s="72">
        <v>1</v>
      </c>
      <c r="C8" s="78" t="s">
        <v>29</v>
      </c>
      <c r="W8" s="25"/>
      <c r="X8" s="3"/>
      <c r="Y8" s="3"/>
    </row>
    <row r="9" spans="1:37" ht="14.5" customHeight="1" thickBot="1" x14ac:dyDescent="0.6">
      <c r="A9" s="118" t="s">
        <v>30</v>
      </c>
      <c r="B9" s="73">
        <v>25</v>
      </c>
      <c r="C9" s="119" t="s">
        <v>14</v>
      </c>
      <c r="W9" s="25"/>
      <c r="X9" s="45"/>
      <c r="Y9" s="3"/>
      <c r="AA9" s="24"/>
      <c r="AB9" s="3"/>
      <c r="AC9" s="5"/>
    </row>
    <row r="10" spans="1:37" ht="14.5" customHeight="1" thickBot="1" x14ac:dyDescent="0.6">
      <c r="A10" s="120" t="s">
        <v>31</v>
      </c>
      <c r="B10" s="107"/>
      <c r="C10" s="108"/>
    </row>
    <row r="11" spans="1:37" ht="34.450000000000003" customHeight="1" x14ac:dyDescent="0.55000000000000004">
      <c r="A11" s="121" t="s">
        <v>32</v>
      </c>
      <c r="B11" s="122">
        <v>4</v>
      </c>
      <c r="C11" s="112" t="s">
        <v>33</v>
      </c>
    </row>
    <row r="12" spans="1:37" ht="14.5" customHeight="1" x14ac:dyDescent="0.55000000000000004">
      <c r="A12" s="123" t="s">
        <v>34</v>
      </c>
      <c r="B12" s="114">
        <v>3</v>
      </c>
      <c r="C12" s="124" t="s">
        <v>35</v>
      </c>
      <c r="W12" s="51" t="s">
        <v>39</v>
      </c>
      <c r="X12" s="51" t="s">
        <v>6</v>
      </c>
      <c r="Y12" s="51" t="s">
        <v>4</v>
      </c>
    </row>
    <row r="13" spans="1:37" s="1" customFormat="1" ht="25.5" customHeight="1" thickBot="1" x14ac:dyDescent="0.6">
      <c r="A13" s="118" t="s">
        <v>36</v>
      </c>
      <c r="B13" s="125">
        <v>64</v>
      </c>
      <c r="C13" s="126" t="s">
        <v>37</v>
      </c>
      <c r="D13" s="5"/>
      <c r="E13" s="5"/>
      <c r="F13"/>
      <c r="W13" s="25" t="s">
        <v>48</v>
      </c>
      <c r="X13" s="3">
        <v>1.4829000000000001</v>
      </c>
      <c r="Y13" s="3" t="s">
        <v>12</v>
      </c>
      <c r="Z13"/>
      <c r="AA13"/>
      <c r="AH13" s="11"/>
      <c r="AI13" s="11"/>
      <c r="AJ13" s="11"/>
      <c r="AK13" s="11"/>
    </row>
    <row r="14" spans="1:37" ht="46.5" customHeight="1" thickBot="1" x14ac:dyDescent="0.6">
      <c r="A14" s="186" t="s">
        <v>192</v>
      </c>
      <c r="B14" s="187"/>
      <c r="C14" s="188"/>
      <c r="D14" s="1"/>
      <c r="E14" s="1"/>
      <c r="F14" s="1"/>
      <c r="W14" s="25" t="s">
        <v>57</v>
      </c>
      <c r="X14" s="3">
        <v>0.99</v>
      </c>
      <c r="Y14" s="3"/>
    </row>
    <row r="15" spans="1:37" ht="14.7" hidden="1" thickBot="1" x14ac:dyDescent="0.6">
      <c r="H15" s="6" t="s">
        <v>32</v>
      </c>
      <c r="I15" s="6" t="s">
        <v>40</v>
      </c>
      <c r="J15" s="6" t="s">
        <v>41</v>
      </c>
      <c r="K15" s="6" t="s">
        <v>36</v>
      </c>
      <c r="L15" s="6" t="s">
        <v>42</v>
      </c>
      <c r="M15" s="8" t="s">
        <v>185</v>
      </c>
      <c r="N15" s="6" t="s">
        <v>44</v>
      </c>
      <c r="O15" s="6" t="s">
        <v>144</v>
      </c>
      <c r="P15" s="8"/>
      <c r="R15" s="189" t="s">
        <v>47</v>
      </c>
      <c r="S15" s="190"/>
      <c r="T15" s="190"/>
      <c r="U15" s="191"/>
      <c r="W15" s="25" t="s">
        <v>169</v>
      </c>
      <c r="X15" s="3">
        <v>10</v>
      </c>
      <c r="Y15" s="3" t="s">
        <v>29</v>
      </c>
      <c r="Z15" t="s">
        <v>170</v>
      </c>
      <c r="AC15" s="192" t="s">
        <v>49</v>
      </c>
      <c r="AD15" s="193"/>
      <c r="AE15" s="192" t="s">
        <v>50</v>
      </c>
      <c r="AF15" s="193"/>
      <c r="AG15" s="192" t="s">
        <v>51</v>
      </c>
      <c r="AH15" s="193"/>
    </row>
    <row r="16" spans="1:37" ht="14.7" hidden="1" thickBot="1" x14ac:dyDescent="0.6">
      <c r="H16" s="6">
        <v>2</v>
      </c>
      <c r="I16" s="6">
        <v>1</v>
      </c>
      <c r="J16" s="6">
        <v>1</v>
      </c>
      <c r="K16" s="26">
        <v>4</v>
      </c>
      <c r="L16" s="6">
        <v>25</v>
      </c>
      <c r="M16" s="6">
        <v>0.57499999999999996</v>
      </c>
      <c r="N16" s="6">
        <v>10</v>
      </c>
      <c r="O16" s="6" t="s">
        <v>145</v>
      </c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5" t="s">
        <v>169</v>
      </c>
      <c r="X16" s="45">
        <v>10</v>
      </c>
      <c r="Y16" s="3" t="s">
        <v>29</v>
      </c>
      <c r="Z16" t="s">
        <v>170</v>
      </c>
      <c r="AC16" s="29" t="s">
        <v>58</v>
      </c>
      <c r="AD16">
        <f>IF(B3&lt;6, $X$17, $X$19)+($AA$19*(B9-25))</f>
        <v>65</v>
      </c>
      <c r="AE16" s="29" t="s">
        <v>59</v>
      </c>
      <c r="AF16">
        <f>IF(B3&lt;6, $X$17, $X$19)+($AA$19*(AD19-25))</f>
        <v>79.513379214166633</v>
      </c>
      <c r="AG16" s="29" t="s">
        <v>60</v>
      </c>
      <c r="AH16" s="157">
        <f>IF(B3&lt;6, $X$17, $X$19)+($AA$19*(AF19-25))</f>
        <v>82.286654214166632</v>
      </c>
    </row>
    <row r="17" spans="1:37" ht="14.7" hidden="1" thickBot="1" x14ac:dyDescent="0.6">
      <c r="H17" s="6">
        <v>4</v>
      </c>
      <c r="I17" s="6">
        <v>2</v>
      </c>
      <c r="J17" s="6">
        <v>2</v>
      </c>
      <c r="K17" s="26">
        <v>8</v>
      </c>
      <c r="L17" s="6">
        <v>50</v>
      </c>
      <c r="M17" s="6">
        <v>0.32500000000000001</v>
      </c>
      <c r="N17" s="6">
        <f>N16+5</f>
        <v>15</v>
      </c>
      <c r="O17" s="6" t="s">
        <v>142</v>
      </c>
      <c r="P17" s="8"/>
      <c r="R17" s="14">
        <f>B12</f>
        <v>3</v>
      </c>
      <c r="S17" s="12">
        <f>IF(B11&gt;2,X23,"")</f>
        <v>1</v>
      </c>
      <c r="T17" s="12">
        <f>IF(B11&gt;2,X23,"")</f>
        <v>1</v>
      </c>
      <c r="U17" s="15">
        <f>B12</f>
        <v>3</v>
      </c>
      <c r="W17" s="25" t="s">
        <v>186</v>
      </c>
      <c r="X17" s="3">
        <f>155/2</f>
        <v>77.5</v>
      </c>
      <c r="Y17" s="3" t="s">
        <v>78</v>
      </c>
      <c r="AC17" s="30" t="s">
        <v>63</v>
      </c>
      <c r="AD17" s="9">
        <f>ROUND(3*$B$4*$B$4*AD16/(1000),3)</f>
        <v>1.607</v>
      </c>
      <c r="AE17" s="30" t="s">
        <v>64</v>
      </c>
      <c r="AF17" s="9">
        <f>ROUND(3*$B$4*$B$4*AF16/(1000),3)</f>
        <v>1.966</v>
      </c>
      <c r="AG17" s="30" t="s">
        <v>65</v>
      </c>
      <c r="AH17" s="9">
        <f>ROUND(3*$B$4*$B$4*AH16/(1000),3)</f>
        <v>2.0350000000000001</v>
      </c>
    </row>
    <row r="18" spans="1:37" ht="14.7" hidden="1" thickBot="1" x14ac:dyDescent="0.6">
      <c r="H18" s="6"/>
      <c r="I18" s="6">
        <v>3</v>
      </c>
      <c r="J18" s="6"/>
      <c r="K18" s="26">
        <v>16</v>
      </c>
      <c r="L18" s="6">
        <v>125</v>
      </c>
      <c r="M18" s="6">
        <v>0.25</v>
      </c>
      <c r="N18" s="6">
        <f t="shared" ref="N18:N54" si="0">N17+5</f>
        <v>20</v>
      </c>
      <c r="O18" s="6"/>
      <c r="P18" s="8"/>
      <c r="Q18" s="8"/>
      <c r="R18" s="179" t="s">
        <v>66</v>
      </c>
      <c r="S18" s="180"/>
      <c r="T18" s="181"/>
      <c r="U18" s="33" t="s">
        <v>67</v>
      </c>
      <c r="W18" s="28" t="s">
        <v>187</v>
      </c>
      <c r="X18" s="8">
        <f>225/2</f>
        <v>112.5</v>
      </c>
      <c r="Y18" s="8" t="s">
        <v>78</v>
      </c>
      <c r="AC18" s="30" t="s">
        <v>70</v>
      </c>
      <c r="AD18" s="9">
        <f>AD17+$AA$20</f>
        <v>1.8787545908306316</v>
      </c>
      <c r="AE18" s="30" t="s">
        <v>71</v>
      </c>
      <c r="AF18" s="9">
        <f>AF17+$AA$20</f>
        <v>2.2377545908306318</v>
      </c>
      <c r="AG18" s="31" t="s">
        <v>72</v>
      </c>
      <c r="AH18" s="32">
        <f>AH17+$AA$20</f>
        <v>2.3067545908306317</v>
      </c>
    </row>
    <row r="19" spans="1:37" ht="14.7" hidden="1" thickBot="1" x14ac:dyDescent="0.6">
      <c r="H19" s="6"/>
      <c r="I19" s="6"/>
      <c r="J19" s="6"/>
      <c r="K19" s="26">
        <v>32</v>
      </c>
      <c r="L19" s="6">
        <v>200</v>
      </c>
      <c r="M19" s="6">
        <v>0.25</v>
      </c>
      <c r="N19" s="6">
        <f t="shared" si="0"/>
        <v>25</v>
      </c>
      <c r="O19" s="6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5" t="s">
        <v>173</v>
      </c>
      <c r="X19" s="3">
        <f>130/2</f>
        <v>65</v>
      </c>
      <c r="Y19" s="3" t="s">
        <v>78</v>
      </c>
      <c r="Z19" t="s">
        <v>85</v>
      </c>
      <c r="AA19">
        <f>IF(AND(B3&gt;2.999,B3&lt;6.001),(X18-X17)/(125-25),(X20-X19)/(125-25))</f>
        <v>0.25</v>
      </c>
      <c r="AC19" s="30" t="s">
        <v>79</v>
      </c>
      <c r="AD19" s="9">
        <f>$B$9+(AD18*$X$24)</f>
        <v>83.053516856666505</v>
      </c>
      <c r="AE19" s="30" t="s">
        <v>80</v>
      </c>
      <c r="AF19" s="9">
        <f>$B$9+(AF18*$X$24)</f>
        <v>94.146616856666512</v>
      </c>
      <c r="AG19" s="31" t="s">
        <v>81</v>
      </c>
      <c r="AH19" s="32">
        <f>$B$9+(AH18*$X$24)</f>
        <v>96.27871685666652</v>
      </c>
    </row>
    <row r="20" spans="1:37" ht="43.2" hidden="1" x14ac:dyDescent="0.55000000000000004">
      <c r="A20" s="3"/>
      <c r="H20" s="6"/>
      <c r="I20" s="6"/>
      <c r="J20" s="6"/>
      <c r="K20" s="26">
        <v>64</v>
      </c>
      <c r="L20" s="6"/>
      <c r="M20" s="6"/>
      <c r="N20" s="6">
        <f t="shared" si="0"/>
        <v>30</v>
      </c>
      <c r="O20" s="6"/>
      <c r="P20" s="8"/>
      <c r="Q20" s="8"/>
      <c r="R20" s="14" t="str">
        <f>_xlfn.TEXTJOIN(",",TRUE,R17:U17)</f>
        <v>3,1,1,3</v>
      </c>
      <c r="S20" s="12">
        <f>B13</f>
        <v>64</v>
      </c>
      <c r="T20" s="12"/>
      <c r="U20" s="15">
        <f>VLOOKUP(S20&amp;R20,Q23:T47,4,FALSE)</f>
        <v>30.9</v>
      </c>
      <c r="W20" s="28" t="s">
        <v>188</v>
      </c>
      <c r="X20" s="8">
        <f>180/2</f>
        <v>90</v>
      </c>
      <c r="Y20" s="8" t="s">
        <v>78</v>
      </c>
      <c r="Z20" s="27" t="s">
        <v>146</v>
      </c>
      <c r="AA20">
        <f>X32+X36+X37+X39+X40+X41</f>
        <v>0.27175459083063164</v>
      </c>
    </row>
    <row r="21" spans="1:37" hidden="1" x14ac:dyDescent="0.55000000000000004">
      <c r="A21" s="3"/>
      <c r="H21" s="5"/>
      <c r="I21" s="5"/>
      <c r="N21" s="6">
        <f t="shared" si="0"/>
        <v>35</v>
      </c>
      <c r="R21" s="182" t="s">
        <v>83</v>
      </c>
      <c r="S21" s="183"/>
      <c r="T21" s="183"/>
      <c r="U21" s="184"/>
      <c r="W21" s="28" t="s">
        <v>30</v>
      </c>
      <c r="X21" s="8">
        <v>25</v>
      </c>
      <c r="Y21" s="8" t="s">
        <v>84</v>
      </c>
    </row>
    <row r="22" spans="1:37" hidden="1" x14ac:dyDescent="0.55000000000000004">
      <c r="A22" s="3"/>
      <c r="H22" s="5"/>
      <c r="I22" s="5"/>
      <c r="N22" s="6">
        <f t="shared" si="0"/>
        <v>40</v>
      </c>
      <c r="Q22" s="4" t="s">
        <v>86</v>
      </c>
      <c r="R22" s="127" t="s">
        <v>87</v>
      </c>
      <c r="S22" s="128" t="s">
        <v>73</v>
      </c>
      <c r="T22" s="129" t="s">
        <v>88</v>
      </c>
      <c r="U22" s="22"/>
      <c r="W22" s="28" t="s">
        <v>89</v>
      </c>
      <c r="X22" s="8">
        <v>1</v>
      </c>
      <c r="Y22" s="8" t="s">
        <v>90</v>
      </c>
    </row>
    <row r="23" spans="1:37" hidden="1" x14ac:dyDescent="0.55000000000000004">
      <c r="A23" s="24"/>
      <c r="B23" s="24"/>
      <c r="C23" s="24"/>
      <c r="H23" s="5"/>
      <c r="I23" s="5"/>
      <c r="N23" s="6">
        <f t="shared" si="0"/>
        <v>45</v>
      </c>
      <c r="Q23" s="4" t="str">
        <f t="shared" ref="Q23:Q47" si="1">R23&amp;S23</f>
        <v>41,1</v>
      </c>
      <c r="R23" s="14">
        <v>4</v>
      </c>
      <c r="S23" s="12" t="s">
        <v>92</v>
      </c>
      <c r="T23" s="143">
        <v>84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H24" s="5"/>
      <c r="I24" s="5"/>
      <c r="N24" s="6">
        <f t="shared" si="0"/>
        <v>50</v>
      </c>
      <c r="Q24" s="4" t="str">
        <f t="shared" si="1"/>
        <v>42,2</v>
      </c>
      <c r="R24" s="14">
        <v>4</v>
      </c>
      <c r="S24" s="12" t="s">
        <v>93</v>
      </c>
      <c r="T24" s="144">
        <v>77</v>
      </c>
      <c r="U24" s="15"/>
      <c r="W24" s="28" t="s">
        <v>94</v>
      </c>
      <c r="X24" s="8">
        <f>U20</f>
        <v>30.9</v>
      </c>
      <c r="Y24" s="8" t="s">
        <v>95</v>
      </c>
    </row>
    <row r="25" spans="1:37" hidden="1" x14ac:dyDescent="0.55000000000000004">
      <c r="A25" s="23"/>
      <c r="H25" s="5"/>
      <c r="I25" s="5"/>
      <c r="N25" s="6">
        <f t="shared" si="0"/>
        <v>55</v>
      </c>
      <c r="Q25" s="4" t="str">
        <f t="shared" si="1"/>
        <v>41,1,1,1</v>
      </c>
      <c r="R25" s="14">
        <v>4</v>
      </c>
      <c r="S25" s="12" t="s">
        <v>96</v>
      </c>
      <c r="T25" s="143">
        <v>69.2</v>
      </c>
      <c r="U25" s="15"/>
      <c r="W25" s="137" t="s">
        <v>39</v>
      </c>
      <c r="X25" s="138" t="s">
        <v>6</v>
      </c>
      <c r="Y25" s="138" t="s">
        <v>4</v>
      </c>
    </row>
    <row r="26" spans="1:37" hidden="1" x14ac:dyDescent="0.55000000000000004">
      <c r="A26" s="3"/>
      <c r="H26" s="5"/>
      <c r="I26" s="5"/>
      <c r="N26" s="6">
        <f t="shared" si="0"/>
        <v>60</v>
      </c>
      <c r="Q26" s="4" t="str">
        <f t="shared" si="1"/>
        <v>42,1,1,2</v>
      </c>
      <c r="R26" s="14">
        <v>4</v>
      </c>
      <c r="S26" s="12" t="s">
        <v>97</v>
      </c>
      <c r="T26" s="143">
        <v>66.900000000000006</v>
      </c>
      <c r="U26" s="15"/>
      <c r="W26" s="28" t="s">
        <v>98</v>
      </c>
      <c r="X26" s="8">
        <f>ROUND((B3/SQRT(2))*X14,2)</f>
        <v>8.4</v>
      </c>
      <c r="Y26" s="8" t="s">
        <v>8</v>
      </c>
    </row>
    <row r="27" spans="1:37" s="1" customFormat="1" hidden="1" x14ac:dyDescent="0.55000000000000004">
      <c r="A27" s="3"/>
      <c r="B27" s="3"/>
      <c r="C27" s="3"/>
      <c r="D27" s="5"/>
      <c r="E27" s="5"/>
      <c r="F27"/>
      <c r="H27" s="5"/>
      <c r="I27" s="5"/>
      <c r="J27"/>
      <c r="K27"/>
      <c r="L27"/>
      <c r="M27"/>
      <c r="N27" s="6">
        <f t="shared" si="0"/>
        <v>65</v>
      </c>
      <c r="O27"/>
      <c r="P27"/>
      <c r="Q27" s="4" t="str">
        <f t="shared" si="1"/>
        <v>81,1</v>
      </c>
      <c r="R27" s="14">
        <v>8</v>
      </c>
      <c r="S27" s="12" t="s">
        <v>92</v>
      </c>
      <c r="T27" s="143">
        <v>70.099999999999994</v>
      </c>
      <c r="U27" s="15"/>
      <c r="V27"/>
      <c r="W27" s="28" t="s">
        <v>99</v>
      </c>
      <c r="X27" s="8">
        <f>ROUND(X26/1.41,2)</f>
        <v>5.96</v>
      </c>
      <c r="Y27" s="8" t="s">
        <v>8</v>
      </c>
      <c r="Z27"/>
      <c r="AA27"/>
      <c r="AH27" s="11"/>
      <c r="AI27" s="11"/>
      <c r="AJ27" s="11"/>
      <c r="AK27" s="11"/>
    </row>
    <row r="28" spans="1:37" hidden="1" x14ac:dyDescent="0.55000000000000004">
      <c r="A28" s="1"/>
      <c r="B28" s="1"/>
      <c r="C28" s="1"/>
      <c r="D28" s="6"/>
      <c r="E28" s="6"/>
      <c r="F28" s="1"/>
      <c r="H28" s="5"/>
      <c r="I28" s="5"/>
      <c r="N28" s="6">
        <f t="shared" si="0"/>
        <v>70</v>
      </c>
      <c r="Q28" s="4" t="str">
        <f t="shared" si="1"/>
        <v>82,2</v>
      </c>
      <c r="R28" s="14">
        <v>8</v>
      </c>
      <c r="S28" s="12" t="s">
        <v>93</v>
      </c>
      <c r="T28" s="144">
        <v>61.6</v>
      </c>
      <c r="U28" s="15"/>
      <c r="W28" s="28" t="s">
        <v>100</v>
      </c>
      <c r="X28" s="8">
        <f>B4*1.414</f>
        <v>4.0593868937069786</v>
      </c>
      <c r="Y28" s="8" t="s">
        <v>12</v>
      </c>
    </row>
    <row r="29" spans="1:37" ht="14.7" hidden="1" thickBot="1" x14ac:dyDescent="0.6">
      <c r="A29" s="3"/>
      <c r="H29" s="5"/>
      <c r="I29" s="5"/>
      <c r="N29" s="6">
        <f t="shared" si="0"/>
        <v>75</v>
      </c>
      <c r="Q29" s="4" t="str">
        <f t="shared" si="1"/>
        <v>81,1,1,1</v>
      </c>
      <c r="R29" s="14">
        <v>8</v>
      </c>
      <c r="S29" s="12" t="s">
        <v>96</v>
      </c>
      <c r="T29" s="143">
        <v>54.7</v>
      </c>
      <c r="U29" s="15"/>
      <c r="W29" s="28" t="s">
        <v>101</v>
      </c>
      <c r="X29" s="8">
        <f>B3/B7</f>
        <v>0.06</v>
      </c>
      <c r="Y29" s="8" t="s">
        <v>21</v>
      </c>
    </row>
    <row r="30" spans="1:37" hidden="1" x14ac:dyDescent="0.55000000000000004">
      <c r="A30" s="3"/>
      <c r="G30" s="5"/>
      <c r="H30" s="5"/>
      <c r="N30" s="6">
        <f t="shared" si="0"/>
        <v>80</v>
      </c>
      <c r="Q30" s="4" t="str">
        <f t="shared" si="1"/>
        <v>82,1,1,2</v>
      </c>
      <c r="R30" s="14">
        <v>8</v>
      </c>
      <c r="S30" s="12" t="s">
        <v>97</v>
      </c>
      <c r="T30" s="143">
        <v>52</v>
      </c>
      <c r="U30" s="15"/>
      <c r="W30" s="25" t="s">
        <v>189</v>
      </c>
      <c r="X30" s="3">
        <f>IF(B7=25, 0.575, IF(B7=50, 0.325, IF(B7=125, 0.25, IF(B7=200, 0.25, ""))))</f>
        <v>0.25</v>
      </c>
      <c r="Y30" s="3" t="s">
        <v>21</v>
      </c>
      <c r="AB30" s="117"/>
    </row>
    <row r="31" spans="1:37" hidden="1" x14ac:dyDescent="0.55000000000000004">
      <c r="A31" s="3"/>
      <c r="G31" s="5"/>
      <c r="H31" s="5"/>
      <c r="N31" s="6">
        <f t="shared" si="0"/>
        <v>85</v>
      </c>
      <c r="Q31" s="4" t="str">
        <f t="shared" si="1"/>
        <v>161,1</v>
      </c>
      <c r="R31" s="14">
        <v>16</v>
      </c>
      <c r="S31" s="12" t="s">
        <v>92</v>
      </c>
      <c r="T31" s="143">
        <v>61.8</v>
      </c>
      <c r="U31" s="15"/>
      <c r="W31" s="135" t="s">
        <v>103</v>
      </c>
      <c r="X31" s="136" t="s">
        <v>6</v>
      </c>
      <c r="Y31" s="136" t="s">
        <v>4</v>
      </c>
    </row>
    <row r="32" spans="1:37" s="10" customFormat="1" hidden="1" x14ac:dyDescent="0.55000000000000004">
      <c r="A32" s="3"/>
      <c r="B32" s="3"/>
      <c r="C32" s="3"/>
      <c r="D32" s="5"/>
      <c r="E32" s="5"/>
      <c r="F32"/>
      <c r="G32" s="5"/>
      <c r="H32" s="5"/>
      <c r="I32"/>
      <c r="J32"/>
      <c r="K32"/>
      <c r="L32"/>
      <c r="M32"/>
      <c r="N32" s="6">
        <f t="shared" si="0"/>
        <v>90</v>
      </c>
      <c r="O32"/>
      <c r="P32"/>
      <c r="Q32" s="4" t="str">
        <f t="shared" si="1"/>
        <v>162,2</v>
      </c>
      <c r="R32" s="14">
        <v>16</v>
      </c>
      <c r="S32" s="12" t="s">
        <v>93</v>
      </c>
      <c r="T32" s="144">
        <v>52.2</v>
      </c>
      <c r="U32" s="16"/>
      <c r="V32"/>
      <c r="W32" s="28" t="s">
        <v>104</v>
      </c>
      <c r="X32" s="140">
        <f>B3*IF(B3&gt;6.01,X16,X15)/1000</f>
        <v>0.12</v>
      </c>
      <c r="Y32" s="8" t="s">
        <v>10</v>
      </c>
      <c r="Z32"/>
      <c r="AA32"/>
      <c r="AB32"/>
      <c r="AC32"/>
      <c r="AD32"/>
      <c r="AE32"/>
      <c r="AF32"/>
      <c r="AG32"/>
    </row>
    <row r="33" spans="1:33" s="10" customFormat="1" hidden="1" x14ac:dyDescent="0.55000000000000004">
      <c r="A33" s="3"/>
      <c r="B33" s="3"/>
      <c r="C33" s="3"/>
      <c r="D33" s="5"/>
      <c r="E33" s="5"/>
      <c r="F33"/>
      <c r="G33" s="5"/>
      <c r="H33" s="5"/>
      <c r="I33"/>
      <c r="J33"/>
      <c r="K33"/>
      <c r="L33"/>
      <c r="M33"/>
      <c r="N33" s="6">
        <f t="shared" si="0"/>
        <v>95</v>
      </c>
      <c r="O33"/>
      <c r="P33"/>
      <c r="Q33" s="4" t="str">
        <f t="shared" si="1"/>
        <v>161,1,1,1</v>
      </c>
      <c r="R33" s="14">
        <v>16</v>
      </c>
      <c r="S33" s="12" t="s">
        <v>96</v>
      </c>
      <c r="T33" s="143">
        <v>45.4</v>
      </c>
      <c r="U33" s="15"/>
      <c r="V33"/>
      <c r="W33" s="28"/>
      <c r="X33" s="8"/>
      <c r="Y33" s="8"/>
      <c r="Z33"/>
      <c r="AA33"/>
      <c r="AB33"/>
      <c r="AC33"/>
      <c r="AD33"/>
      <c r="AE33"/>
      <c r="AF33"/>
      <c r="AG33"/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/>
      <c r="N34" s="6">
        <f t="shared" si="0"/>
        <v>100</v>
      </c>
      <c r="O34"/>
      <c r="P34"/>
      <c r="Q34" s="4" t="str">
        <f t="shared" si="1"/>
        <v>162,1,1,2</v>
      </c>
      <c r="R34" s="14">
        <v>16</v>
      </c>
      <c r="S34" s="12" t="s">
        <v>97</v>
      </c>
      <c r="T34" s="143">
        <v>42.4</v>
      </c>
      <c r="U34" s="15"/>
      <c r="V34"/>
      <c r="W34" s="135" t="s">
        <v>148</v>
      </c>
      <c r="X34" s="136" t="s">
        <v>6</v>
      </c>
      <c r="Y34" s="136" t="s">
        <v>4</v>
      </c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/>
      <c r="N35" s="6">
        <f t="shared" si="0"/>
        <v>105</v>
      </c>
      <c r="O35"/>
      <c r="P35"/>
      <c r="Q35" s="4" t="str">
        <f t="shared" si="1"/>
        <v>321,1</v>
      </c>
      <c r="R35" s="14">
        <v>32</v>
      </c>
      <c r="S35" s="12" t="s">
        <v>92</v>
      </c>
      <c r="T35" s="143">
        <v>57.4</v>
      </c>
      <c r="U35" s="15"/>
      <c r="V35"/>
      <c r="W35" s="28" t="s">
        <v>106</v>
      </c>
      <c r="X35" s="8">
        <f>ROUND(3*B4*B4*AH16/(1000),3)</f>
        <v>2.0350000000000001</v>
      </c>
      <c r="Y35" s="8" t="s">
        <v>10</v>
      </c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/>
      <c r="N36" s="6">
        <f t="shared" si="0"/>
        <v>110</v>
      </c>
      <c r="O36"/>
      <c r="P36"/>
      <c r="Q36" s="4" t="str">
        <f t="shared" si="1"/>
        <v>322,2</v>
      </c>
      <c r="R36" s="14">
        <v>32</v>
      </c>
      <c r="S36" s="12" t="s">
        <v>93</v>
      </c>
      <c r="T36" s="144">
        <v>46.7</v>
      </c>
      <c r="U36" s="15"/>
      <c r="V36"/>
      <c r="W36" s="28" t="s">
        <v>108</v>
      </c>
      <c r="X36" s="140">
        <f>ROUND(3*B3*B4*X29*B6/(1000),3)*IF(B5="Discontinuous",2/3,1)</f>
        <v>8.2666666666666666E-2</v>
      </c>
      <c r="Y36" s="8" t="s">
        <v>10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/>
      <c r="N37" s="6">
        <f t="shared" si="0"/>
        <v>115</v>
      </c>
      <c r="O37"/>
      <c r="P37"/>
      <c r="Q37" s="4" t="str">
        <f t="shared" si="1"/>
        <v>321,1,1,1</v>
      </c>
      <c r="R37" s="14">
        <v>32</v>
      </c>
      <c r="S37" s="12" t="s">
        <v>96</v>
      </c>
      <c r="T37" s="143">
        <v>39.799999999999997</v>
      </c>
      <c r="U37" s="15"/>
      <c r="V37"/>
      <c r="W37" s="28" t="s">
        <v>110</v>
      </c>
      <c r="X37" s="140">
        <f>X22*0.000000001*5*B6*1000</f>
        <v>9.9999999999999991E-5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 s="6">
        <f t="shared" si="0"/>
        <v>120</v>
      </c>
      <c r="O38"/>
      <c r="P38"/>
      <c r="Q38" s="4" t="str">
        <f t="shared" si="1"/>
        <v>322,1,1,2</v>
      </c>
      <c r="R38" s="14">
        <v>32</v>
      </c>
      <c r="S38" s="12" t="s">
        <v>97</v>
      </c>
      <c r="T38" s="143">
        <v>36.6</v>
      </c>
      <c r="U38" s="15"/>
      <c r="V38"/>
      <c r="W38" s="28" t="s">
        <v>149</v>
      </c>
      <c r="X38" s="8">
        <f>X35+X36+X37</f>
        <v>2.1177666666666668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 s="6">
        <f t="shared" si="0"/>
        <v>125</v>
      </c>
      <c r="O39"/>
      <c r="P39"/>
      <c r="Q39" s="4" t="str">
        <f t="shared" si="1"/>
        <v>641,1</v>
      </c>
      <c r="R39" s="14">
        <v>64</v>
      </c>
      <c r="S39" s="12" t="s">
        <v>92</v>
      </c>
      <c r="T39" s="143">
        <v>55.1</v>
      </c>
      <c r="U39" s="15"/>
      <c r="V39"/>
      <c r="W39" s="11" t="s">
        <v>113</v>
      </c>
      <c r="X39" s="139">
        <f>3*2*B4*X30*B6*0.7/1000</f>
        <v>6.0287924163965029E-2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 s="6">
        <f t="shared" si="0"/>
        <v>130</v>
      </c>
      <c r="O40"/>
      <c r="P40"/>
      <c r="Q40" s="4" t="str">
        <f t="shared" si="1"/>
        <v>642,2</v>
      </c>
      <c r="R40" s="14">
        <v>64</v>
      </c>
      <c r="S40" s="12" t="s">
        <v>93</v>
      </c>
      <c r="T40" s="144">
        <v>43.5</v>
      </c>
      <c r="U40" s="15"/>
      <c r="V40"/>
      <c r="W40" s="28" t="s">
        <v>115</v>
      </c>
      <c r="X40" s="139">
        <f>(B3-3.3)*B8*0.001</f>
        <v>8.6999999999999994E-3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 s="6">
        <f t="shared" si="0"/>
        <v>135</v>
      </c>
      <c r="O41"/>
      <c r="P41"/>
      <c r="Q41" s="4" t="str">
        <f t="shared" si="1"/>
        <v>641,1,1,1</v>
      </c>
      <c r="R41" s="14">
        <v>64</v>
      </c>
      <c r="S41" s="12" t="s">
        <v>96</v>
      </c>
      <c r="T41" s="143">
        <v>36.299999999999997</v>
      </c>
      <c r="U41" s="15"/>
      <c r="V41"/>
      <c r="W41" s="11" t="s">
        <v>117</v>
      </c>
      <c r="X41" s="139">
        <v>0</v>
      </c>
      <c r="Y41" s="5" t="s">
        <v>10</v>
      </c>
      <c r="Z41" s="8" t="s">
        <v>118</v>
      </c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 s="6">
        <f t="shared" si="0"/>
        <v>140</v>
      </c>
      <c r="O42"/>
      <c r="P42"/>
      <c r="Q42" s="4" t="str">
        <f t="shared" si="1"/>
        <v>642,1,1,2</v>
      </c>
      <c r="R42" s="36">
        <v>64</v>
      </c>
      <c r="S42" s="37" t="s">
        <v>97</v>
      </c>
      <c r="T42" s="145">
        <v>32.9</v>
      </c>
      <c r="U42" s="38"/>
      <c r="V42"/>
      <c r="W42" s="28" t="s">
        <v>150</v>
      </c>
      <c r="X42" s="8">
        <f>ROUND((3*X27*B4)-E3,2)</f>
        <v>49.02</v>
      </c>
      <c r="Y42" s="8" t="s">
        <v>10</v>
      </c>
      <c r="Z42"/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 s="6">
        <f t="shared" si="0"/>
        <v>145</v>
      </c>
      <c r="O43"/>
      <c r="P43"/>
      <c r="Q43" s="40" t="str">
        <f t="shared" si="1"/>
        <v>43,1,1,3</v>
      </c>
      <c r="R43" s="39">
        <v>4</v>
      </c>
      <c r="S43" s="12" t="s">
        <v>119</v>
      </c>
      <c r="T43" s="143">
        <v>65.599999999999994</v>
      </c>
      <c r="U43" s="41"/>
      <c r="V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24"/>
      <c r="B44" s="24"/>
      <c r="C44" s="24"/>
      <c r="D44" s="5"/>
      <c r="E44" s="5"/>
      <c r="F44" s="5"/>
      <c r="G44"/>
      <c r="H44"/>
      <c r="I44"/>
      <c r="J44"/>
      <c r="K44"/>
      <c r="L44"/>
      <c r="M44"/>
      <c r="N44" s="6">
        <f t="shared" si="0"/>
        <v>150</v>
      </c>
      <c r="O44"/>
      <c r="P44"/>
      <c r="Q44" s="40" t="str">
        <f t="shared" si="1"/>
        <v>83,1,1,3</v>
      </c>
      <c r="R44" s="39">
        <v>8</v>
      </c>
      <c r="S44" s="12" t="s">
        <v>119</v>
      </c>
      <c r="T44" s="143">
        <v>50.5</v>
      </c>
      <c r="U44" s="41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5"/>
      <c r="B45" s="3"/>
      <c r="C45" s="3"/>
      <c r="D45" s="5"/>
      <c r="E45" s="3"/>
      <c r="F45" s="3"/>
      <c r="G45" s="5"/>
      <c r="H45"/>
      <c r="I45"/>
      <c r="J45"/>
      <c r="K45"/>
      <c r="L45"/>
      <c r="M45"/>
      <c r="N45" s="6">
        <f t="shared" si="0"/>
        <v>155</v>
      </c>
      <c r="O45"/>
      <c r="P45"/>
      <c r="Q45" s="40" t="str">
        <f t="shared" si="1"/>
        <v>163,1,1,3</v>
      </c>
      <c r="R45" s="39">
        <v>16</v>
      </c>
      <c r="S45" s="12" t="s">
        <v>119</v>
      </c>
      <c r="T45" s="143">
        <v>40.700000000000003</v>
      </c>
      <c r="U45" s="41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 s="5"/>
      <c r="G46"/>
      <c r="H46"/>
      <c r="I46"/>
      <c r="J46"/>
      <c r="K46"/>
      <c r="L46"/>
      <c r="M46"/>
      <c r="N46" s="6">
        <f t="shared" si="0"/>
        <v>160</v>
      </c>
      <c r="O46"/>
      <c r="P46"/>
      <c r="Q46" s="40" t="str">
        <f t="shared" si="1"/>
        <v>323,1,1,3</v>
      </c>
      <c r="R46" s="39">
        <v>32</v>
      </c>
      <c r="S46" s="12" t="s">
        <v>119</v>
      </c>
      <c r="T46" s="143">
        <v>34.700000000000003</v>
      </c>
      <c r="U46" s="41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t="14.7" hidden="1" thickBot="1" x14ac:dyDescent="0.6">
      <c r="A47" s="23"/>
      <c r="B47" s="3"/>
      <c r="C47" s="3"/>
      <c r="D47" s="5"/>
      <c r="E47" s="5"/>
      <c r="F47"/>
      <c r="G47"/>
      <c r="H47"/>
      <c r="I47"/>
      <c r="J47"/>
      <c r="K47"/>
      <c r="L47"/>
      <c r="M47"/>
      <c r="N47" s="6">
        <f t="shared" si="0"/>
        <v>165</v>
      </c>
      <c r="O47"/>
      <c r="P47"/>
      <c r="Q47" s="40" t="str">
        <f t="shared" si="1"/>
        <v>643,1,1,3</v>
      </c>
      <c r="R47" s="132">
        <v>64</v>
      </c>
      <c r="S47" s="133" t="s">
        <v>119</v>
      </c>
      <c r="T47" s="146">
        <v>30.9</v>
      </c>
      <c r="U47" s="42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" customFormat="1" hidden="1" x14ac:dyDescent="0.55000000000000004">
      <c r="A48" s="24"/>
      <c r="B48" s="24"/>
      <c r="C48" s="24"/>
      <c r="D48" s="5"/>
      <c r="E48" s="5"/>
      <c r="F48"/>
      <c r="N48" s="6">
        <f t="shared" si="0"/>
        <v>170</v>
      </c>
    </row>
    <row r="49" spans="1:33" s="4" customFormat="1" hidden="1" x14ac:dyDescent="0.55000000000000004">
      <c r="A49" s="25"/>
      <c r="D49" s="7"/>
      <c r="E49" s="7"/>
      <c r="N49" s="6">
        <f t="shared" si="0"/>
        <v>175</v>
      </c>
    </row>
    <row r="50" spans="1:33" s="10" customFormat="1" hidden="1" x14ac:dyDescent="0.55000000000000004">
      <c r="A50" s="24"/>
      <c r="B50" s="24"/>
      <c r="C50" s="24"/>
      <c r="D50" s="7"/>
      <c r="E50" s="7"/>
      <c r="F50" s="4"/>
      <c r="G50"/>
      <c r="H50"/>
      <c r="I50"/>
      <c r="J50"/>
      <c r="K50"/>
      <c r="L50"/>
      <c r="M50"/>
      <c r="N50" s="6">
        <f t="shared" si="0"/>
        <v>180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24"/>
      <c r="B51" s="3"/>
      <c r="C51" s="3"/>
      <c r="D51" s="5"/>
      <c r="E51" s="5"/>
      <c r="F51"/>
      <c r="G51"/>
      <c r="H51"/>
      <c r="I51"/>
      <c r="J51"/>
      <c r="K51"/>
      <c r="L51"/>
      <c r="M51"/>
      <c r="N51" s="6">
        <f t="shared" si="0"/>
        <v>185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/>
      <c r="H52"/>
      <c r="I52"/>
      <c r="J52"/>
      <c r="K52"/>
      <c r="L52"/>
      <c r="M52"/>
      <c r="N52" s="6">
        <f t="shared" si="0"/>
        <v>190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/>
      <c r="N53" s="6">
        <f t="shared" si="0"/>
        <v>195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/>
      <c r="N54" s="6">
        <f t="shared" si="0"/>
        <v>200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 s="6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 s="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 s="6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 s="6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t="43.5" hidden="1" customHeight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 s="6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 s="6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 s="6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 s="6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 s="6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 s="6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4:37" s="3" customFormat="1" hidden="1" x14ac:dyDescent="0.55000000000000004">
      <c r="D65" s="5"/>
      <c r="E65" s="5"/>
      <c r="F65"/>
      <c r="G65"/>
      <c r="H65"/>
      <c r="I65"/>
      <c r="J65"/>
      <c r="K65"/>
      <c r="L65"/>
      <c r="M65"/>
      <c r="N65" s="6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 s="10"/>
      <c r="AI65" s="10"/>
      <c r="AJ65" s="10"/>
      <c r="AK65" s="10"/>
    </row>
    <row r="66" spans="4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 s="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4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 s="6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4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 s="6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4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 s="6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4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 s="6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4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 s="6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4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 s="6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4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 s="6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4:37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 s="6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4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 s="6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4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 s="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4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 s="6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4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4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4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3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5"/>
    </row>
    <row r="86" spans="1:33" s="10" customFormat="1" hidden="1" x14ac:dyDescent="0.55000000000000004">
      <c r="A86" s="2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3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</sheetData>
  <sheetProtection algorithmName="SHA-512" hashValue="fkbODyfVAFZyjXvHgQaOhYmLl6i32mf2jHsyut1CKESE8Qcb5qWJrq4L0Xez0bRsvPumVkovYkWnZFvO0Uermg==" saltValue="ZWUmhfxJw0H9Rp6XMkECNg==" spinCount="100000" sheet="1" objects="1" scenarios="1"/>
  <mergeCells count="8">
    <mergeCell ref="AG15:AH15"/>
    <mergeCell ref="R18:T18"/>
    <mergeCell ref="R21:U21"/>
    <mergeCell ref="B1:F1"/>
    <mergeCell ref="A14:C14"/>
    <mergeCell ref="R15:U15"/>
    <mergeCell ref="AC15:AD15"/>
    <mergeCell ref="AE15:AF15"/>
  </mergeCells>
  <conditionalFormatting sqref="E4">
    <cfRule type="cellIs" dxfId="1" priority="1" operator="lessThan">
      <formula>125</formula>
    </cfRule>
    <cfRule type="cellIs" dxfId="0" priority="2" operator="greaterThan">
      <formula>125</formula>
    </cfRule>
  </conditionalFormatting>
  <dataValidations count="14">
    <dataValidation type="decimal" allowBlank="1" showInputMessage="1" showErrorMessage="1" error="This ambient temperature is outside the operating range of the DRV8316" prompt="Enter the ambient temperature for normal operation from -40C to 125C" sqref="B9" xr:uid="{B67C9DF1-624A-4734-93EB-91293015B20A}">
      <formula1>-40</formula1>
      <formula2>125</formula2>
    </dataValidation>
    <dataValidation type="decimal" allowBlank="1" showInputMessage="1" showErrorMessage="1" error="AVDD output current out of range" prompt="Enter the AVDD output load current between 0 to 60 mA" sqref="B8" xr:uid="{87586053-98F2-4A6F-A196-C6899F65B3C6}">
      <formula1>0</formula1>
      <formula2>100</formula2>
    </dataValidation>
    <dataValidation type="list" allowBlank="1" showInputMessage="1" showErrorMessage="1" error="This PWM frequency is outside of the operating range of the DRV8316" prompt="Select a PWM frequency between 10kHz and 200kHz" sqref="B6" xr:uid="{D8783263-884D-47CE-AB41-94394A6C773C}">
      <formula1>$N$16:$N$54</formula1>
    </dataValidation>
    <dataValidation type="decimal" allowBlank="1" showInputMessage="1" showErrorMessage="1" error="This current is outside the operating range of the DRV8316" prompt="Enter an RMS current between 0 and 3.54 amps" sqref="B4" xr:uid="{8E77D14D-1034-4361-A593-B22B20F719DD}">
      <formula1>0</formula1>
      <formula2>3.54</formula2>
    </dataValidation>
    <dataValidation type="decimal" allowBlank="1" showInputMessage="1" showErrorMessage="1" error="This voltage is outside the operating range of the DRV8316" prompt="Enter a motor supply voltage between 4.5 to 20 volts" sqref="B3" xr:uid="{D3B9F4B4-AAF7-4859-ABF8-85F3D5B74AA3}">
      <formula1>4.5</formula1>
      <formula2>20</formula2>
    </dataValidation>
    <dataValidation type="list" allowBlank="1" showInputMessage="1" showErrorMessage="1" prompt="Select copper thickness of internal layers if more than 2 layer PCB (oz)" sqref="X23" xr:uid="{CC440E59-EEB5-4831-903F-4079C84C79C1}">
      <formula1>$J$16:$J$17</formula1>
    </dataValidation>
    <dataValidation type="list" allowBlank="1" showInputMessage="1" showErrorMessage="1" prompt="Select copper thickness of top/bottom layers (oz)" sqref="X23 AB9 AF15" xr:uid="{0595B7FB-D22B-450F-8EEC-B7CA030429DB}">
      <formula1>$I$16:$I$17</formula1>
    </dataValidation>
    <dataValidation type="list" allowBlank="1" showInputMessage="1" showErrorMessage="1" prompt="Select an output slew rate setting (V/us)" sqref="B7" xr:uid="{C10155E0-3DD6-430B-B810-7965AF3EB971}">
      <formula1>$L$16:$L$19</formula1>
    </dataValidation>
    <dataValidation type="list" allowBlank="1" showInputMessage="1" showErrorMessage="1" prompt="Select PCB area (cm2)" sqref="B13" xr:uid="{2318786B-9096-4F61-8120-4D9C4B873006}">
      <formula1>$K$16:$K$20</formula1>
    </dataValidation>
    <dataValidation type="list" allowBlank="1" showInputMessage="1" showErrorMessage="1" prompt="Select # of PCB Layers" sqref="B11" xr:uid="{E284268B-D139-486B-A134-9445A8727E3F}">
      <formula1>$H$16:$H$17</formula1>
    </dataValidation>
    <dataValidation type="list" allowBlank="1" showInputMessage="1" showErrorMessage="1" prompt="Select PWM modulation type" sqref="B5" xr:uid="{7F601F81-1FD1-4DCE-BF48-F77389AD690C}">
      <formula1>$O$16:$O$17</formula1>
    </dataValidation>
    <dataValidation type="list" allowBlank="1" showInputMessage="1" showErrorMessage="1" prompt="Select copper thickness of top/bottom layers (oz)" sqref="B12" xr:uid="{86F6A769-D52E-4738-9AEC-9AE23770D57E}">
      <formula1>$I$16:$I$18</formula1>
    </dataValidation>
    <dataValidation type="list" allowBlank="1" showInputMessage="1" showErrorMessage="1" prompt="Select copper thickness of top/bottom layers (oz)" sqref="B13" xr:uid="{D32E923C-0611-4315-A338-32FE70E45DD4}">
      <formula1>$K$16:$K$20</formula1>
    </dataValidation>
    <dataValidation allowBlank="1" showInputMessage="1" showErrorMessage="1" prompt="Enter the operating ambient temperature" sqref="X21" xr:uid="{4F440DDF-9587-4808-9B34-1A220632C02D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AC9C-C6B6-4601-86CF-C9BBDA097F26}">
  <dimension ref="A1:AK114"/>
  <sheetViews>
    <sheetView zoomScale="70" zoomScaleNormal="70" workbookViewId="0">
      <selection activeCell="B4" sqref="B4"/>
    </sheetView>
  </sheetViews>
  <sheetFormatPr defaultColWidth="0" defaultRowHeight="14.4" customHeight="1" zeroHeight="1" x14ac:dyDescent="0.55000000000000004"/>
  <cols>
    <col min="1" max="1" width="56.26171875" style="2" customWidth="1"/>
    <col min="2" max="2" width="13.41796875" style="3" customWidth="1"/>
    <col min="3" max="3" width="7.26171875" style="3" bestFit="1" customWidth="1"/>
    <col min="4" max="4" width="20.83984375" style="5" customWidth="1"/>
    <col min="5" max="5" width="24.83984375" style="5" customWidth="1"/>
    <col min="6" max="6" width="27.734375" customWidth="1"/>
    <col min="7" max="17" width="8.83984375" hidden="1"/>
    <col min="18" max="18" width="13" hidden="1"/>
    <col min="19" max="19" width="7.9453125" hidden="1"/>
    <col min="20" max="20" width="14.26171875" hidden="1"/>
    <col min="21" max="21" width="13.62890625" hidden="1"/>
    <col min="22" max="25" width="8.83984375" hidden="1"/>
    <col min="26" max="26" width="33.62890625" hidden="1"/>
    <col min="27" max="33" width="8.83984375" hidden="1"/>
    <col min="34" max="37" width="8.83984375" style="10" hidden="1"/>
    <col min="38" max="16384" width="8.83984375" hidden="1"/>
  </cols>
  <sheetData>
    <row r="1" spans="1:37" ht="75.599999999999994" customHeight="1" thickBot="1" x14ac:dyDescent="0.6">
      <c r="A1" s="142" t="s">
        <v>212</v>
      </c>
      <c r="B1" s="185" t="s">
        <v>213</v>
      </c>
      <c r="C1" s="185"/>
      <c r="D1" s="185"/>
      <c r="E1" s="185"/>
      <c r="F1" s="185"/>
    </row>
    <row r="2" spans="1:37" ht="41.4" customHeight="1" thickBot="1" x14ac:dyDescent="0.6">
      <c r="A2" s="106" t="s">
        <v>2</v>
      </c>
      <c r="B2" s="107" t="s">
        <v>208</v>
      </c>
      <c r="C2" s="108" t="s">
        <v>4</v>
      </c>
      <c r="D2" s="109" t="s">
        <v>5</v>
      </c>
      <c r="E2" s="110" t="s">
        <v>6</v>
      </c>
      <c r="F2" s="110" t="s">
        <v>4</v>
      </c>
    </row>
    <row r="3" spans="1:37" ht="14.5" customHeight="1" thickBot="1" x14ac:dyDescent="0.6">
      <c r="A3" s="86" t="s">
        <v>7</v>
      </c>
      <c r="B3" s="171">
        <v>12</v>
      </c>
      <c r="C3" s="112" t="s">
        <v>8</v>
      </c>
      <c r="D3" s="66" t="s">
        <v>9</v>
      </c>
      <c r="E3" s="172">
        <f>ROUND(IF(U20=-1,"n/a",$AH$18),2)</f>
        <v>1.69</v>
      </c>
      <c r="F3" s="112" t="s">
        <v>10</v>
      </c>
    </row>
    <row r="4" spans="1:37" ht="14.5" customHeight="1" thickBot="1" x14ac:dyDescent="0.6">
      <c r="A4" s="88" t="s">
        <v>140</v>
      </c>
      <c r="B4" s="173">
        <v>1.5</v>
      </c>
      <c r="C4" s="115" t="s">
        <v>12</v>
      </c>
      <c r="D4" s="66" t="s">
        <v>13</v>
      </c>
      <c r="E4" s="174">
        <f>ROUND(IF(U20=-1,"n/a",$AH$19),2)</f>
        <v>153.88999999999999</v>
      </c>
      <c r="F4" s="112" t="s">
        <v>84</v>
      </c>
    </row>
    <row r="5" spans="1:37" ht="14.5" customHeight="1" x14ac:dyDescent="0.55000000000000004">
      <c r="A5" s="116" t="s">
        <v>141</v>
      </c>
      <c r="B5" s="173" t="s">
        <v>145</v>
      </c>
      <c r="C5" s="115"/>
      <c r="D5" s="117"/>
      <c r="E5" s="117"/>
      <c r="F5" s="117"/>
    </row>
    <row r="6" spans="1:37" ht="14.5" customHeight="1" x14ac:dyDescent="0.55000000000000004">
      <c r="A6" s="86" t="s">
        <v>24</v>
      </c>
      <c r="B6" s="171">
        <v>25</v>
      </c>
      <c r="C6" s="112" t="s">
        <v>25</v>
      </c>
    </row>
    <row r="7" spans="1:37" ht="14.5" customHeight="1" x14ac:dyDescent="0.55000000000000004">
      <c r="A7" s="92" t="s">
        <v>26</v>
      </c>
      <c r="B7" s="173">
        <v>125</v>
      </c>
      <c r="C7" s="115" t="s">
        <v>27</v>
      </c>
    </row>
    <row r="8" spans="1:37" ht="14.5" customHeight="1" x14ac:dyDescent="0.55000000000000004">
      <c r="A8" s="93" t="s">
        <v>28</v>
      </c>
      <c r="B8" s="175">
        <v>5</v>
      </c>
      <c r="C8" s="78" t="s">
        <v>29</v>
      </c>
    </row>
    <row r="9" spans="1:37" ht="14.5" customHeight="1" thickBot="1" x14ac:dyDescent="0.6">
      <c r="A9" s="118" t="s">
        <v>30</v>
      </c>
      <c r="B9" s="176">
        <v>45</v>
      </c>
      <c r="C9" s="119" t="s">
        <v>14</v>
      </c>
      <c r="Y9" s="25"/>
      <c r="Z9" s="24"/>
      <c r="AA9" s="24"/>
      <c r="AB9" s="3"/>
      <c r="AC9" s="5"/>
    </row>
    <row r="10" spans="1:37" ht="14.5" customHeight="1" thickBot="1" x14ac:dyDescent="0.6">
      <c r="A10" s="120" t="s">
        <v>31</v>
      </c>
      <c r="B10" s="107"/>
      <c r="C10" s="108"/>
    </row>
    <row r="11" spans="1:37" ht="34.15" customHeight="1" x14ac:dyDescent="0.55000000000000004">
      <c r="A11" s="121" t="s">
        <v>32</v>
      </c>
      <c r="B11" s="177">
        <v>4</v>
      </c>
      <c r="C11" s="112" t="s">
        <v>33</v>
      </c>
    </row>
    <row r="12" spans="1:37" ht="14.5" customHeight="1" x14ac:dyDescent="0.55000000000000004">
      <c r="A12" s="123" t="s">
        <v>34</v>
      </c>
      <c r="B12" s="173">
        <v>2</v>
      </c>
      <c r="C12" s="124" t="s">
        <v>35</v>
      </c>
    </row>
    <row r="13" spans="1:37" s="1" customFormat="1" ht="25.5" customHeight="1" thickBot="1" x14ac:dyDescent="0.6">
      <c r="A13" s="118" t="s">
        <v>36</v>
      </c>
      <c r="B13" s="178">
        <v>4</v>
      </c>
      <c r="C13" s="12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6" t="s">
        <v>209</v>
      </c>
      <c r="B14" s="187"/>
      <c r="C14" s="188"/>
      <c r="D14" s="1"/>
      <c r="E14" s="1"/>
      <c r="F14" s="1"/>
      <c r="W14" s="137" t="s">
        <v>39</v>
      </c>
      <c r="X14" s="138" t="s">
        <v>6</v>
      </c>
      <c r="Y14" s="138" t="s">
        <v>4</v>
      </c>
    </row>
    <row r="15" spans="1:37" ht="29.1" hidden="1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9" t="s">
        <v>47</v>
      </c>
      <c r="S15" s="190"/>
      <c r="T15" s="190"/>
      <c r="U15" s="191"/>
      <c r="W15" s="28" t="s">
        <v>48</v>
      </c>
      <c r="X15" s="8">
        <v>1.4829000000000001</v>
      </c>
      <c r="Y15" s="8" t="s">
        <v>12</v>
      </c>
      <c r="AC15" s="192" t="s">
        <v>49</v>
      </c>
      <c r="AD15" s="193"/>
      <c r="AE15" s="192" t="s">
        <v>50</v>
      </c>
      <c r="AF15" s="193"/>
      <c r="AG15" s="192" t="s">
        <v>51</v>
      </c>
      <c r="AH15" s="193"/>
    </row>
    <row r="16" spans="1:37" ht="29.1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125</v>
      </c>
      <c r="L16" s="6">
        <v>0.65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129.6</v>
      </c>
      <c r="AE16" s="29" t="s">
        <v>59</v>
      </c>
      <c r="AF16">
        <f>$X$19+($AA$19*(AD19-25))</f>
        <v>171.32223300000001</v>
      </c>
      <c r="AG16" s="29" t="s">
        <v>60</v>
      </c>
      <c r="AH16">
        <f>$X$19+($AA$19*(AF19-25))</f>
        <v>180.035481</v>
      </c>
    </row>
    <row r="17" spans="1:37" ht="14.7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200</v>
      </c>
      <c r="L17" s="6">
        <v>0.5</v>
      </c>
      <c r="M17" s="6">
        <v>15</v>
      </c>
      <c r="N17" s="6" t="s">
        <v>142</v>
      </c>
      <c r="O17" s="8"/>
      <c r="P17" s="8"/>
      <c r="R17" s="14">
        <f>B12</f>
        <v>2</v>
      </c>
      <c r="S17" s="12">
        <f>IF(B11&gt;2,X23,"")</f>
        <v>1</v>
      </c>
      <c r="T17" s="12">
        <f>IF(B11&gt;2,X23,"")</f>
        <v>1</v>
      </c>
      <c r="U17" s="15">
        <f>B12</f>
        <v>2</v>
      </c>
      <c r="W17" s="28"/>
      <c r="X17" s="8"/>
      <c r="Y17" s="8"/>
      <c r="AC17" s="30" t="s">
        <v>63</v>
      </c>
      <c r="AD17" s="9">
        <f>ROUND(3*$B$4*$B$4*AD16/(1000),3)</f>
        <v>0.875</v>
      </c>
      <c r="AE17" s="30" t="s">
        <v>64</v>
      </c>
      <c r="AF17" s="9">
        <f>ROUND(3*$B$4*$B$4*AF16/(1000),3)</f>
        <v>1.1559999999999999</v>
      </c>
      <c r="AG17" s="30" t="s">
        <v>65</v>
      </c>
      <c r="AH17" s="9">
        <f>ROUND(3*$B$4*$B$4*AH16/(1000),3)</f>
        <v>1.2150000000000001</v>
      </c>
    </row>
    <row r="18" spans="1:37" ht="27.3" hidden="1" customHeight="1" thickBot="1" x14ac:dyDescent="0.6">
      <c r="G18" s="6"/>
      <c r="H18" s="6">
        <v>3</v>
      </c>
      <c r="I18" s="6"/>
      <c r="J18" s="26">
        <v>16</v>
      </c>
      <c r="K18" s="6"/>
      <c r="L18" s="6"/>
      <c r="M18" s="6">
        <v>20</v>
      </c>
      <c r="N18" s="6"/>
      <c r="O18" s="8"/>
      <c r="P18" s="8"/>
      <c r="Q18" s="8"/>
      <c r="R18" s="179" t="s">
        <v>66</v>
      </c>
      <c r="S18" s="180"/>
      <c r="T18" s="181"/>
      <c r="U18" s="33" t="s">
        <v>67</v>
      </c>
      <c r="W18" s="28" t="s">
        <v>214</v>
      </c>
      <c r="X18" s="8">
        <v>11</v>
      </c>
      <c r="Y18" s="8" t="s">
        <v>29</v>
      </c>
      <c r="Z18" t="s">
        <v>156</v>
      </c>
      <c r="AC18" s="30" t="s">
        <v>70</v>
      </c>
      <c r="AD18" s="9">
        <f>AD17+$AA$20</f>
        <v>1.3455312500000001</v>
      </c>
      <c r="AE18" s="30" t="s">
        <v>71</v>
      </c>
      <c r="AF18" s="9">
        <f>AF17+$AA$20</f>
        <v>1.62653125</v>
      </c>
      <c r="AG18" s="31" t="s">
        <v>72</v>
      </c>
      <c r="AH18" s="32">
        <f>AH17+$AA$20</f>
        <v>1.6855312500000001</v>
      </c>
    </row>
    <row r="19" spans="1:37" ht="18" hidden="1" customHeight="1" thickBot="1" x14ac:dyDescent="0.6">
      <c r="G19" s="6"/>
      <c r="H19" s="6"/>
      <c r="I19" s="6"/>
      <c r="J19" s="26">
        <v>20</v>
      </c>
      <c r="K19" s="6"/>
      <c r="L19" s="6"/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120</v>
      </c>
      <c r="Y19" s="8" t="s">
        <v>78</v>
      </c>
      <c r="Z19" t="s">
        <v>85</v>
      </c>
      <c r="AA19">
        <f>(X20-X19)/(150-25)</f>
        <v>0.48</v>
      </c>
      <c r="AC19" s="30" t="s">
        <v>79</v>
      </c>
      <c r="AD19" s="9">
        <f>$B$9+(AD18*$X$24)</f>
        <v>131.92131875000001</v>
      </c>
      <c r="AE19" s="30" t="s">
        <v>80</v>
      </c>
      <c r="AF19" s="9">
        <f>$B$9+(AF18*$X$24)</f>
        <v>150.07391874999999</v>
      </c>
      <c r="AG19" s="31" t="s">
        <v>81</v>
      </c>
      <c r="AH19" s="32">
        <f>$B$9+(AH18*$X$24)</f>
        <v>153.88531875000001</v>
      </c>
    </row>
    <row r="20" spans="1:37" ht="52.2" hidden="1" customHeight="1" x14ac:dyDescent="0.55000000000000004">
      <c r="A20" s="3"/>
      <c r="G20" s="6"/>
      <c r="H20" s="6"/>
      <c r="I20" s="6"/>
      <c r="J20" s="26">
        <v>24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2,1,1,2</v>
      </c>
      <c r="S20" s="12">
        <f>B13</f>
        <v>4</v>
      </c>
      <c r="T20" s="12"/>
      <c r="U20" s="15">
        <f>VLOOKUP(S20&amp;R20,Q23:T74,4,FALSE)</f>
        <v>64.599999999999994</v>
      </c>
      <c r="W20" s="28" t="s">
        <v>138</v>
      </c>
      <c r="X20" s="8">
        <v>180</v>
      </c>
      <c r="Y20" s="8" t="s">
        <v>78</v>
      </c>
      <c r="Z20" s="27" t="s">
        <v>146</v>
      </c>
      <c r="AA20">
        <f>X38+X56+X57+X66+X68+X69</f>
        <v>0.47053125000000001</v>
      </c>
    </row>
    <row r="21" spans="1:37" ht="43.2" hidden="1" x14ac:dyDescent="0.55000000000000004">
      <c r="A21" s="3"/>
      <c r="G21" s="5"/>
      <c r="H21" s="5"/>
      <c r="J21" s="26">
        <v>32</v>
      </c>
      <c r="M21" s="6">
        <v>35</v>
      </c>
      <c r="R21" s="182" t="s">
        <v>83</v>
      </c>
      <c r="S21" s="183"/>
      <c r="T21" s="183"/>
      <c r="U21" s="184"/>
      <c r="W21" s="28" t="s">
        <v>30</v>
      </c>
      <c r="X21" s="8">
        <v>25</v>
      </c>
      <c r="Y21" s="8" t="s">
        <v>84</v>
      </c>
    </row>
    <row r="22" spans="1:37" ht="28.8" hidden="1" x14ac:dyDescent="0.55000000000000004">
      <c r="A22" s="3"/>
      <c r="G22" s="5"/>
      <c r="H22" s="5"/>
      <c r="J22" s="26">
        <v>48</v>
      </c>
      <c r="M22" s="6">
        <v>40</v>
      </c>
      <c r="Q22" s="4" t="s">
        <v>86</v>
      </c>
      <c r="R22" s="127" t="s">
        <v>87</v>
      </c>
      <c r="S22" s="128" t="s">
        <v>73</v>
      </c>
      <c r="T22" s="12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43.2" hidden="1" x14ac:dyDescent="0.55000000000000004">
      <c r="A23" s="24"/>
      <c r="B23" s="24"/>
      <c r="C23" s="24"/>
      <c r="G23" s="5"/>
      <c r="H23" s="5"/>
      <c r="J23" s="26">
        <v>64</v>
      </c>
      <c r="M23" s="6">
        <v>45</v>
      </c>
      <c r="Q23" s="4" t="str">
        <f t="shared" ref="Q23:Q70" si="0">R23&amp;S23</f>
        <v>41,1</v>
      </c>
      <c r="R23" s="14">
        <v>4</v>
      </c>
      <c r="S23" s="12" t="s">
        <v>92</v>
      </c>
      <c r="T23" s="143">
        <v>76.7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44">
        <v>71.599999999999994</v>
      </c>
      <c r="U24" s="15"/>
      <c r="W24" s="28" t="s">
        <v>94</v>
      </c>
      <c r="X24" s="8">
        <f>U20</f>
        <v>64.599999999999994</v>
      </c>
      <c r="Y24" s="8" t="s">
        <v>95</v>
      </c>
    </row>
    <row r="25" spans="1:37" hidden="1" x14ac:dyDescent="0.55000000000000004">
      <c r="A25" s="3"/>
      <c r="G25" s="5"/>
      <c r="H25" s="5"/>
      <c r="M25" s="6">
        <v>55</v>
      </c>
      <c r="Q25" s="4" t="str">
        <f t="shared" si="0"/>
        <v>43,3</v>
      </c>
      <c r="R25" s="14">
        <v>4</v>
      </c>
      <c r="S25" s="12" t="s">
        <v>211</v>
      </c>
      <c r="T25" s="144">
        <v>69.3</v>
      </c>
      <c r="U25" s="15"/>
      <c r="W25" s="28"/>
      <c r="X25" s="8"/>
      <c r="Y25" s="8"/>
    </row>
    <row r="26" spans="1:37" ht="28.8" hidden="1" x14ac:dyDescent="0.55000000000000004">
      <c r="A26" s="23"/>
      <c r="G26" s="5"/>
      <c r="H26" s="5"/>
      <c r="M26" s="6">
        <v>60</v>
      </c>
      <c r="Q26" s="4" t="str">
        <f t="shared" si="0"/>
        <v>41,1,1,1</v>
      </c>
      <c r="R26" s="14">
        <v>4</v>
      </c>
      <c r="S26" s="12" t="s">
        <v>96</v>
      </c>
      <c r="T26" s="143">
        <v>66.5</v>
      </c>
      <c r="U26" s="15"/>
      <c r="W26" s="137" t="s">
        <v>39</v>
      </c>
      <c r="X26" s="138" t="s">
        <v>6</v>
      </c>
      <c r="Y26" s="138" t="s">
        <v>4</v>
      </c>
    </row>
    <row r="27" spans="1:37" ht="43.2" hidden="1" x14ac:dyDescent="0.55000000000000004">
      <c r="A27" s="3"/>
      <c r="G27" s="5"/>
      <c r="H27" s="5"/>
      <c r="M27" s="6">
        <v>65</v>
      </c>
      <c r="Q27" s="4" t="str">
        <f t="shared" si="0"/>
        <v>42,1,1,2</v>
      </c>
      <c r="R27" s="14">
        <v>4</v>
      </c>
      <c r="S27" s="12" t="s">
        <v>97</v>
      </c>
      <c r="T27" s="143">
        <v>64.599999999999994</v>
      </c>
      <c r="U27" s="15"/>
      <c r="W27" s="28" t="s">
        <v>98</v>
      </c>
      <c r="X27" s="8">
        <f>ROUND((B3/SQRT(2))*X16,2)</f>
        <v>8.4</v>
      </c>
      <c r="Y27" s="8" t="s">
        <v>8</v>
      </c>
    </row>
    <row r="28" spans="1:37" hidden="1" x14ac:dyDescent="0.55000000000000004">
      <c r="A28" s="3"/>
      <c r="G28" s="5"/>
      <c r="H28" s="5"/>
      <c r="M28" s="6">
        <v>70</v>
      </c>
      <c r="Q28" s="4" t="str">
        <f t="shared" si="0"/>
        <v>43,1,1,3</v>
      </c>
      <c r="R28" s="14">
        <v>4</v>
      </c>
      <c r="S28" s="12" t="s">
        <v>119</v>
      </c>
      <c r="T28" s="143">
        <v>63.5</v>
      </c>
      <c r="U28" s="15"/>
      <c r="W28" s="28"/>
      <c r="X28" s="8"/>
      <c r="Y28" s="8"/>
    </row>
    <row r="29" spans="1:37" s="1" customFormat="1" ht="57.6" hidden="1" x14ac:dyDescent="0.55000000000000004">
      <c r="A29" s="3"/>
      <c r="B29" s="3"/>
      <c r="C29" s="3"/>
      <c r="D29" s="5"/>
      <c r="E29" s="5"/>
      <c r="F29"/>
      <c r="G29" s="5"/>
      <c r="H29" s="5"/>
      <c r="I29"/>
      <c r="J29"/>
      <c r="K29"/>
      <c r="L29"/>
      <c r="M29" s="6">
        <v>75</v>
      </c>
      <c r="N29"/>
      <c r="O29"/>
      <c r="P29"/>
      <c r="Q29" s="4" t="str">
        <f t="shared" si="0"/>
        <v>81,1</v>
      </c>
      <c r="R29" s="14">
        <v>8</v>
      </c>
      <c r="S29" s="12" t="s">
        <v>92</v>
      </c>
      <c r="T29" s="143">
        <v>61</v>
      </c>
      <c r="U29" s="15"/>
      <c r="V29"/>
      <c r="W29" s="28" t="s">
        <v>99</v>
      </c>
      <c r="X29" s="8">
        <f>ROUND(X27/1.41,2)</f>
        <v>5.96</v>
      </c>
      <c r="Y29" s="8" t="s">
        <v>8</v>
      </c>
      <c r="Z29"/>
      <c r="AA29"/>
      <c r="AH29" s="11"/>
      <c r="AI29" s="11"/>
      <c r="AJ29" s="11"/>
      <c r="AK29" s="11"/>
    </row>
    <row r="30" spans="1:37" hidden="1" x14ac:dyDescent="0.55000000000000004">
      <c r="A30" s="1"/>
      <c r="B30" s="1"/>
      <c r="C30" s="1"/>
      <c r="D30" s="6"/>
      <c r="E30" s="6"/>
      <c r="F30" s="1"/>
      <c r="G30" s="5"/>
      <c r="H30" s="5"/>
      <c r="M30" s="6"/>
      <c r="Q30" s="4" t="str">
        <f t="shared" si="0"/>
        <v>82,2</v>
      </c>
      <c r="R30" s="14">
        <v>8</v>
      </c>
      <c r="S30" s="12" t="s">
        <v>93</v>
      </c>
      <c r="T30" s="144">
        <v>54.7</v>
      </c>
      <c r="U30" s="15"/>
      <c r="W30" s="28"/>
      <c r="X30" s="8"/>
      <c r="Y30" s="8"/>
    </row>
    <row r="31" spans="1:37" hidden="1" x14ac:dyDescent="0.55000000000000004">
      <c r="A31" s="1"/>
      <c r="B31" s="1"/>
      <c r="C31" s="1"/>
      <c r="D31" s="6"/>
      <c r="E31" s="6"/>
      <c r="F31" s="1"/>
      <c r="G31" s="5"/>
      <c r="H31" s="5"/>
      <c r="M31" s="6"/>
      <c r="Q31" s="4" t="str">
        <f t="shared" si="0"/>
        <v>83,3</v>
      </c>
      <c r="R31" s="14">
        <v>8</v>
      </c>
      <c r="S31" s="12" t="s">
        <v>211</v>
      </c>
      <c r="T31" s="144">
        <v>52</v>
      </c>
      <c r="U31" s="15"/>
      <c r="W31" s="28"/>
      <c r="X31" s="8"/>
      <c r="Y31" s="8"/>
    </row>
    <row r="32" spans="1:37" ht="43.2" hidden="1" x14ac:dyDescent="0.55000000000000004">
      <c r="A32" s="3"/>
      <c r="G32" s="5"/>
      <c r="H32" s="5"/>
      <c r="M32" s="6"/>
      <c r="Q32" s="4" t="str">
        <f t="shared" si="0"/>
        <v>81,1,1,1</v>
      </c>
      <c r="R32" s="14">
        <v>8</v>
      </c>
      <c r="S32" s="12" t="s">
        <v>96</v>
      </c>
      <c r="T32" s="143">
        <v>49.4</v>
      </c>
      <c r="U32" s="15"/>
      <c r="W32" s="28" t="s">
        <v>100</v>
      </c>
      <c r="X32" s="8">
        <f>B4*1.414</f>
        <v>2.121</v>
      </c>
      <c r="Y32" s="8" t="s">
        <v>12</v>
      </c>
    </row>
    <row r="33" spans="1:33" ht="28.8" hidden="1" x14ac:dyDescent="0.55000000000000004">
      <c r="A33" s="3"/>
      <c r="G33" s="5"/>
      <c r="H33" s="5"/>
      <c r="Q33" s="4" t="str">
        <f t="shared" si="0"/>
        <v>82,1,1,2</v>
      </c>
      <c r="R33" s="14">
        <v>8</v>
      </c>
      <c r="S33" s="12" t="s">
        <v>97</v>
      </c>
      <c r="T33" s="143">
        <v>47.4</v>
      </c>
      <c r="U33" s="15"/>
      <c r="W33" s="28" t="s">
        <v>101</v>
      </c>
      <c r="X33" s="8">
        <f>B3/B7</f>
        <v>9.6000000000000002E-2</v>
      </c>
      <c r="Y33" s="8" t="s">
        <v>21</v>
      </c>
    </row>
    <row r="34" spans="1:33" hidden="1" x14ac:dyDescent="0.55000000000000004">
      <c r="A34" s="3"/>
      <c r="G34" s="5"/>
      <c r="H34" s="5"/>
      <c r="Q34" s="4" t="str">
        <f t="shared" si="0"/>
        <v>83,1,1,3</v>
      </c>
      <c r="R34" s="14">
        <v>8</v>
      </c>
      <c r="S34" s="12" t="s">
        <v>119</v>
      </c>
      <c r="T34" s="143">
        <v>46.3</v>
      </c>
      <c r="U34" s="15"/>
      <c r="W34" s="28"/>
      <c r="X34" s="8"/>
      <c r="Y34" s="8"/>
    </row>
    <row r="35" spans="1:33" ht="86.4" hidden="1" x14ac:dyDescent="0.55000000000000004">
      <c r="A35" s="3"/>
      <c r="G35" s="5"/>
      <c r="H35" s="5"/>
      <c r="Q35" s="4" t="str">
        <f t="shared" si="0"/>
        <v>161,1</v>
      </c>
      <c r="R35" s="14">
        <v>16</v>
      </c>
      <c r="S35" s="12" t="s">
        <v>92</v>
      </c>
      <c r="T35" s="143">
        <v>51.5</v>
      </c>
      <c r="U35" s="15"/>
      <c r="W35" s="25" t="s">
        <v>147</v>
      </c>
      <c r="X35" s="3">
        <f>VLOOKUP(B7,K16:L19,2,FALSE)</f>
        <v>0.65</v>
      </c>
      <c r="Y35" s="3" t="s">
        <v>21</v>
      </c>
    </row>
    <row r="36" spans="1:33" ht="28.8" hidden="1" x14ac:dyDescent="0.55000000000000004">
      <c r="A36" s="3"/>
      <c r="G36" s="5"/>
      <c r="H36" s="5"/>
      <c r="Q36" s="4" t="str">
        <f t="shared" si="0"/>
        <v>162,2</v>
      </c>
      <c r="R36" s="14">
        <v>16</v>
      </c>
      <c r="S36" s="12" t="s">
        <v>93</v>
      </c>
      <c r="T36" s="144">
        <v>44</v>
      </c>
      <c r="U36" s="16"/>
      <c r="W36" s="135" t="s">
        <v>103</v>
      </c>
      <c r="X36" s="136" t="s">
        <v>6</v>
      </c>
      <c r="Y36" s="136" t="s">
        <v>4</v>
      </c>
    </row>
    <row r="37" spans="1:33" hidden="1" x14ac:dyDescent="0.55000000000000004">
      <c r="A37" s="3"/>
      <c r="G37" s="5"/>
      <c r="H37" s="5"/>
      <c r="Q37" s="4" t="str">
        <f t="shared" si="0"/>
        <v>163,3</v>
      </c>
      <c r="R37" s="14">
        <v>16</v>
      </c>
      <c r="S37" s="12" t="s">
        <v>211</v>
      </c>
      <c r="T37" s="144">
        <v>40.9</v>
      </c>
      <c r="U37" s="16"/>
      <c r="W37" s="135"/>
      <c r="X37" s="136"/>
      <c r="Y37" s="136"/>
    </row>
    <row r="38" spans="1:33" s="10" customFormat="1" ht="43.2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/>
      <c r="O38"/>
      <c r="P38"/>
      <c r="Q38" s="4" t="str">
        <f t="shared" si="0"/>
        <v>161,1,1,1</v>
      </c>
      <c r="R38" s="14">
        <v>16</v>
      </c>
      <c r="S38" s="12" t="s">
        <v>96</v>
      </c>
      <c r="T38" s="143">
        <v>38.700000000000003</v>
      </c>
      <c r="U38" s="15"/>
      <c r="V38"/>
      <c r="W38" s="28" t="s">
        <v>104</v>
      </c>
      <c r="X38" s="140">
        <f>B3*X18/1000</f>
        <v>0.13200000000000001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/>
      <c r="P39"/>
      <c r="Q39" s="4" t="str">
        <f t="shared" si="0"/>
        <v>162,1,1,2</v>
      </c>
      <c r="R39" s="14">
        <v>16</v>
      </c>
      <c r="S39" s="12" t="s">
        <v>97</v>
      </c>
      <c r="T39" s="143">
        <v>36.5</v>
      </c>
      <c r="U39" s="15"/>
      <c r="V39"/>
      <c r="W39" s="28"/>
      <c r="X39" s="8"/>
      <c r="Y39" s="8"/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/>
      <c r="P40"/>
      <c r="Q40" s="4" t="str">
        <f t="shared" si="0"/>
        <v>163,1,1,3</v>
      </c>
      <c r="R40" s="14">
        <v>16</v>
      </c>
      <c r="S40" s="12" t="s">
        <v>119</v>
      </c>
      <c r="T40" s="143">
        <v>35.299999999999997</v>
      </c>
      <c r="U40" s="15"/>
      <c r="V40"/>
      <c r="W40" s="28"/>
      <c r="X40" s="8"/>
      <c r="Y40" s="8"/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/>
      <c r="P41"/>
      <c r="Q41" s="4" t="str">
        <f t="shared" si="0"/>
        <v>201,1</v>
      </c>
      <c r="R41" s="14">
        <v>20</v>
      </c>
      <c r="S41" s="12" t="s">
        <v>92</v>
      </c>
      <c r="T41" s="143">
        <v>49.4</v>
      </c>
      <c r="U41" s="15"/>
      <c r="V41"/>
      <c r="W41" s="28"/>
      <c r="X41" s="8"/>
      <c r="Y41" s="8"/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/>
      <c r="O42"/>
      <c r="P42"/>
      <c r="Q42" s="4" t="str">
        <f t="shared" si="0"/>
        <v>202,2</v>
      </c>
      <c r="R42" s="14">
        <v>20</v>
      </c>
      <c r="S42" s="12" t="s">
        <v>93</v>
      </c>
      <c r="T42" s="143">
        <v>41.6</v>
      </c>
      <c r="U42" s="15"/>
      <c r="V42"/>
      <c r="W42" s="28"/>
      <c r="X42" s="8"/>
      <c r="Y42" s="8"/>
      <c r="Z42"/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/>
      <c r="P43"/>
      <c r="Q43" s="4" t="str">
        <f t="shared" si="0"/>
        <v>203,3</v>
      </c>
      <c r="R43" s="14">
        <v>20</v>
      </c>
      <c r="S43" s="12" t="s">
        <v>211</v>
      </c>
      <c r="T43" s="143">
        <v>38.4</v>
      </c>
      <c r="U43" s="15"/>
      <c r="V43"/>
      <c r="W43" s="28"/>
      <c r="X43" s="8"/>
      <c r="Y43" s="8"/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3"/>
      <c r="B44" s="3"/>
      <c r="C44" s="3"/>
      <c r="D44" s="5"/>
      <c r="E44" s="5"/>
      <c r="F44"/>
      <c r="G44" s="5"/>
      <c r="H44" s="5"/>
      <c r="I44"/>
      <c r="J44"/>
      <c r="K44"/>
      <c r="L44"/>
      <c r="M44"/>
      <c r="N44"/>
      <c r="O44"/>
      <c r="P44"/>
      <c r="Q44" s="4" t="str">
        <f t="shared" si="0"/>
        <v>201,1,1,1</v>
      </c>
      <c r="R44" s="14">
        <v>20</v>
      </c>
      <c r="S44" s="12" t="s">
        <v>96</v>
      </c>
      <c r="T44" s="143">
        <v>36.200000000000003</v>
      </c>
      <c r="U44" s="15"/>
      <c r="V44"/>
      <c r="W44" s="28"/>
      <c r="X44" s="8"/>
      <c r="Y44" s="8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3"/>
      <c r="B45" s="3"/>
      <c r="C45" s="3"/>
      <c r="D45" s="5"/>
      <c r="E45" s="5"/>
      <c r="F45"/>
      <c r="G45" s="5"/>
      <c r="H45" s="5"/>
      <c r="I45"/>
      <c r="J45"/>
      <c r="K45"/>
      <c r="L45"/>
      <c r="M45"/>
      <c r="N45"/>
      <c r="O45"/>
      <c r="P45"/>
      <c r="Q45" s="4" t="str">
        <f t="shared" si="0"/>
        <v>202,1,1,2</v>
      </c>
      <c r="R45" s="14">
        <v>20</v>
      </c>
      <c r="S45" s="12" t="s">
        <v>97</v>
      </c>
      <c r="T45" s="143">
        <v>34</v>
      </c>
      <c r="U45" s="15"/>
      <c r="V45"/>
      <c r="W45" s="28"/>
      <c r="X45" s="8"/>
      <c r="Y45" s="8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/>
      <c r="G46" s="5"/>
      <c r="H46" s="5"/>
      <c r="I46"/>
      <c r="J46"/>
      <c r="K46"/>
      <c r="L46"/>
      <c r="M46"/>
      <c r="N46"/>
      <c r="O46"/>
      <c r="P46"/>
      <c r="Q46" s="4" t="str">
        <f t="shared" si="0"/>
        <v>203,1,1,3</v>
      </c>
      <c r="R46" s="14">
        <v>20</v>
      </c>
      <c r="S46" s="12" t="s">
        <v>119</v>
      </c>
      <c r="T46" s="143">
        <v>32.700000000000003</v>
      </c>
      <c r="U46" s="15"/>
      <c r="V46"/>
      <c r="W46" s="28"/>
      <c r="X46" s="8"/>
      <c r="Y46" s="8"/>
      <c r="Z46"/>
      <c r="AA46"/>
      <c r="AB46"/>
      <c r="AC46"/>
      <c r="AD46"/>
      <c r="AE46"/>
      <c r="AF46"/>
      <c r="AG46"/>
    </row>
    <row r="47" spans="1:33" s="10" customFormat="1" hidden="1" x14ac:dyDescent="0.55000000000000004">
      <c r="A47" s="3"/>
      <c r="B47" s="3"/>
      <c r="C47" s="3"/>
      <c r="D47" s="5"/>
      <c r="E47" s="5"/>
      <c r="F47"/>
      <c r="G47" s="5"/>
      <c r="H47" s="5"/>
      <c r="I47"/>
      <c r="J47"/>
      <c r="K47"/>
      <c r="L47"/>
      <c r="M47"/>
      <c r="N47"/>
      <c r="O47"/>
      <c r="P47"/>
      <c r="Q47" s="4" t="str">
        <f t="shared" si="0"/>
        <v>241,1</v>
      </c>
      <c r="R47" s="14">
        <v>24</v>
      </c>
      <c r="S47" s="12" t="s">
        <v>92</v>
      </c>
      <c r="T47" s="143">
        <v>48.1</v>
      </c>
      <c r="U47" s="15"/>
      <c r="V47"/>
      <c r="W47" s="28"/>
      <c r="X47" s="8"/>
      <c r="Y47" s="8"/>
      <c r="Z47"/>
      <c r="AA47"/>
      <c r="AB47"/>
      <c r="AC47"/>
      <c r="AD47"/>
      <c r="AE47"/>
      <c r="AF47"/>
      <c r="AG47"/>
    </row>
    <row r="48" spans="1:33" s="10" customFormat="1" hidden="1" x14ac:dyDescent="0.55000000000000004">
      <c r="A48" s="3"/>
      <c r="B48" s="3"/>
      <c r="C48" s="3"/>
      <c r="D48" s="5"/>
      <c r="E48" s="5"/>
      <c r="F48"/>
      <c r="G48" s="5"/>
      <c r="H48" s="5"/>
      <c r="I48"/>
      <c r="J48"/>
      <c r="K48"/>
      <c r="L48"/>
      <c r="M48"/>
      <c r="N48"/>
      <c r="O48"/>
      <c r="P48"/>
      <c r="Q48" s="4" t="str">
        <f t="shared" si="0"/>
        <v>242,2</v>
      </c>
      <c r="R48" s="14">
        <v>24</v>
      </c>
      <c r="S48" s="12" t="s">
        <v>93</v>
      </c>
      <c r="T48" s="143">
        <v>40</v>
      </c>
      <c r="U48" s="15"/>
      <c r="V48"/>
      <c r="W48" s="28"/>
      <c r="X48" s="8"/>
      <c r="Y48" s="8"/>
      <c r="Z48"/>
      <c r="AA48"/>
      <c r="AB48"/>
      <c r="AC48"/>
      <c r="AD48"/>
      <c r="AE48"/>
      <c r="AF48"/>
      <c r="AG48"/>
    </row>
    <row r="49" spans="1:33" s="10" customFormat="1" hidden="1" x14ac:dyDescent="0.55000000000000004">
      <c r="A49" s="3"/>
      <c r="B49" s="3"/>
      <c r="C49" s="3"/>
      <c r="D49" s="5"/>
      <c r="E49" s="5"/>
      <c r="F49"/>
      <c r="G49" s="5"/>
      <c r="H49" s="5"/>
      <c r="I49"/>
      <c r="J49"/>
      <c r="K49"/>
      <c r="L49"/>
      <c r="M49"/>
      <c r="N49"/>
      <c r="O49"/>
      <c r="P49"/>
      <c r="Q49" s="4" t="str">
        <f t="shared" si="0"/>
        <v>243,3</v>
      </c>
      <c r="R49" s="14">
        <v>24</v>
      </c>
      <c r="S49" s="12" t="s">
        <v>211</v>
      </c>
      <c r="T49" s="143">
        <v>36.6</v>
      </c>
      <c r="U49" s="15"/>
      <c r="V49"/>
      <c r="W49" s="28"/>
      <c r="X49" s="8"/>
      <c r="Y49" s="8"/>
      <c r="Z49"/>
      <c r="AA49"/>
      <c r="AB49"/>
      <c r="AC49"/>
      <c r="AD49"/>
      <c r="AE49"/>
      <c r="AF49"/>
      <c r="AG49"/>
    </row>
    <row r="50" spans="1:33" s="10" customFormat="1" hidden="1" x14ac:dyDescent="0.55000000000000004">
      <c r="A50" s="3"/>
      <c r="B50" s="3"/>
      <c r="C50" s="3"/>
      <c r="D50" s="5"/>
      <c r="E50" s="5"/>
      <c r="F50"/>
      <c r="G50" s="5"/>
      <c r="H50" s="5"/>
      <c r="I50"/>
      <c r="J50"/>
      <c r="K50"/>
      <c r="L50"/>
      <c r="M50"/>
      <c r="N50"/>
      <c r="O50"/>
      <c r="P50"/>
      <c r="Q50" s="4" t="str">
        <f t="shared" si="0"/>
        <v>241,1,1,1</v>
      </c>
      <c r="R50" s="14">
        <v>24</v>
      </c>
      <c r="S50" s="12" t="s">
        <v>96</v>
      </c>
      <c r="T50" s="143">
        <v>34.5</v>
      </c>
      <c r="U50" s="15"/>
      <c r="V50"/>
      <c r="W50" s="28"/>
      <c r="X50" s="8"/>
      <c r="Y50" s="8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3"/>
      <c r="B51" s="3"/>
      <c r="C51" s="3"/>
      <c r="D51" s="5"/>
      <c r="E51" s="5"/>
      <c r="F51"/>
      <c r="G51" s="5"/>
      <c r="H51" s="5"/>
      <c r="I51"/>
      <c r="J51"/>
      <c r="K51"/>
      <c r="L51"/>
      <c r="M51"/>
      <c r="N51"/>
      <c r="O51"/>
      <c r="P51"/>
      <c r="Q51" s="4" t="str">
        <f t="shared" si="0"/>
        <v>242,1,1,2</v>
      </c>
      <c r="R51" s="14">
        <v>24</v>
      </c>
      <c r="S51" s="12" t="s">
        <v>97</v>
      </c>
      <c r="T51" s="143">
        <v>32.200000000000003</v>
      </c>
      <c r="U51" s="15"/>
      <c r="V51"/>
      <c r="W51" s="28"/>
      <c r="X51" s="8"/>
      <c r="Y51" s="8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 s="5"/>
      <c r="H52" s="5"/>
      <c r="I52"/>
      <c r="J52"/>
      <c r="K52"/>
      <c r="L52"/>
      <c r="M52"/>
      <c r="N52"/>
      <c r="O52"/>
      <c r="P52"/>
      <c r="Q52" s="4" t="str">
        <f t="shared" si="0"/>
        <v>243,1,1,3</v>
      </c>
      <c r="R52" s="14">
        <v>24</v>
      </c>
      <c r="S52" s="12" t="s">
        <v>119</v>
      </c>
      <c r="T52" s="143">
        <v>30.9</v>
      </c>
      <c r="U52" s="15"/>
      <c r="V52"/>
      <c r="W52" s="28"/>
      <c r="X52" s="8"/>
      <c r="Y52" s="8"/>
      <c r="Z52"/>
      <c r="AA52"/>
      <c r="AB52"/>
      <c r="AC52"/>
      <c r="AD52"/>
      <c r="AE52"/>
      <c r="AF52"/>
      <c r="AG52"/>
    </row>
    <row r="53" spans="1:33" s="10" customFormat="1" ht="28.8" hidden="1" x14ac:dyDescent="0.55000000000000004">
      <c r="A53" s="3"/>
      <c r="B53" s="3"/>
      <c r="C53" s="3"/>
      <c r="D53" s="5"/>
      <c r="E53" s="5"/>
      <c r="F53"/>
      <c r="G53" s="5"/>
      <c r="H53" s="5"/>
      <c r="I53"/>
      <c r="J53"/>
      <c r="K53"/>
      <c r="L53"/>
      <c r="M53"/>
      <c r="N53"/>
      <c r="O53"/>
      <c r="P53"/>
      <c r="Q53" s="4" t="str">
        <f t="shared" si="0"/>
        <v>321,1</v>
      </c>
      <c r="R53" s="14">
        <v>32</v>
      </c>
      <c r="S53" s="12" t="s">
        <v>92</v>
      </c>
      <c r="T53" s="143">
        <v>46.3</v>
      </c>
      <c r="U53" s="15"/>
      <c r="V53"/>
      <c r="W53" s="135" t="s">
        <v>148</v>
      </c>
      <c r="X53" s="136" t="s">
        <v>6</v>
      </c>
      <c r="Y53" s="136" t="s">
        <v>4</v>
      </c>
      <c r="Z53"/>
      <c r="AA53"/>
      <c r="AB53"/>
      <c r="AC53"/>
      <c r="AD53"/>
      <c r="AE53"/>
      <c r="AF53"/>
      <c r="AG53"/>
    </row>
    <row r="54" spans="1:33" s="10" customFormat="1" ht="43.2" hidden="1" x14ac:dyDescent="0.55000000000000004">
      <c r="A54" s="3"/>
      <c r="B54" s="3"/>
      <c r="C54" s="3"/>
      <c r="D54" s="5"/>
      <c r="E54" s="5"/>
      <c r="F54"/>
      <c r="G54" s="5"/>
      <c r="H54" s="5"/>
      <c r="I54"/>
      <c r="J54"/>
      <c r="K54"/>
      <c r="L54"/>
      <c r="M54"/>
      <c r="N54"/>
      <c r="O54"/>
      <c r="P54"/>
      <c r="Q54" s="4" t="str">
        <f t="shared" si="0"/>
        <v>322,2</v>
      </c>
      <c r="R54" s="14">
        <v>32</v>
      </c>
      <c r="S54" s="12" t="s">
        <v>93</v>
      </c>
      <c r="T54" s="144">
        <v>37.799999999999997</v>
      </c>
      <c r="U54" s="15"/>
      <c r="V54"/>
      <c r="W54" s="28" t="s">
        <v>106</v>
      </c>
      <c r="X54" s="8">
        <f>ROUND(3*B4*B4*AH16/(1000),3)</f>
        <v>1.2150000000000001</v>
      </c>
      <c r="Y54" s="8" t="s">
        <v>10</v>
      </c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 s="5"/>
      <c r="H55" s="5"/>
      <c r="I55"/>
      <c r="J55"/>
      <c r="K55"/>
      <c r="L55"/>
      <c r="M55"/>
      <c r="N55"/>
      <c r="O55"/>
      <c r="P55"/>
      <c r="Q55" s="4" t="str">
        <f t="shared" si="0"/>
        <v>323,3</v>
      </c>
      <c r="R55" s="14">
        <v>32</v>
      </c>
      <c r="S55" s="12" t="s">
        <v>211</v>
      </c>
      <c r="T55" s="144">
        <v>34.299999999999997</v>
      </c>
      <c r="U55" s="15"/>
      <c r="V55"/>
      <c r="W55" s="28"/>
      <c r="X55" s="8"/>
      <c r="Y55" s="8"/>
      <c r="Z55"/>
      <c r="AA55"/>
      <c r="AB55"/>
      <c r="AC55"/>
      <c r="AD55"/>
      <c r="AE55"/>
      <c r="AF55"/>
      <c r="AG55"/>
    </row>
    <row r="56" spans="1:33" s="10" customFormat="1" ht="43.2" hidden="1" x14ac:dyDescent="0.55000000000000004">
      <c r="A56" s="3"/>
      <c r="B56" s="3"/>
      <c r="C56" s="3"/>
      <c r="D56" s="5"/>
      <c r="E56" s="5"/>
      <c r="F56"/>
      <c r="G56" s="5"/>
      <c r="H56" s="5"/>
      <c r="I56"/>
      <c r="J56"/>
      <c r="K56"/>
      <c r="L56"/>
      <c r="M56"/>
      <c r="N56"/>
      <c r="O56"/>
      <c r="P56"/>
      <c r="Q56" s="4" t="str">
        <f t="shared" si="0"/>
        <v>321,1,1,1</v>
      </c>
      <c r="R56" s="14">
        <v>32</v>
      </c>
      <c r="S56" s="12" t="s">
        <v>96</v>
      </c>
      <c r="T56" s="143">
        <v>32.1</v>
      </c>
      <c r="U56" s="15"/>
      <c r="V56"/>
      <c r="W56" s="28" t="s">
        <v>108</v>
      </c>
      <c r="X56" s="140">
        <f>ROUND(3*B3*B4*X33*B6/(1000),3)*IF(B5="Discontinuous",2/3,1)</f>
        <v>0.13</v>
      </c>
      <c r="Y56" s="8" t="s">
        <v>10</v>
      </c>
      <c r="Z56"/>
      <c r="AA56"/>
      <c r="AB56"/>
      <c r="AC56"/>
      <c r="AD56"/>
      <c r="AE56"/>
      <c r="AF56"/>
      <c r="AG56"/>
    </row>
    <row r="57" spans="1:33" s="10" customFormat="1" ht="28.8" hidden="1" x14ac:dyDescent="0.55000000000000004">
      <c r="A57" s="3"/>
      <c r="B57" s="3"/>
      <c r="C57" s="3"/>
      <c r="D57" s="5"/>
      <c r="E57" s="5"/>
      <c r="F57"/>
      <c r="G57" s="5"/>
      <c r="H57" s="5"/>
      <c r="I57"/>
      <c r="J57"/>
      <c r="K57"/>
      <c r="L57"/>
      <c r="M57"/>
      <c r="N57"/>
      <c r="O57"/>
      <c r="P57"/>
      <c r="Q57" s="4" t="str">
        <f t="shared" si="0"/>
        <v>322,1,1,2</v>
      </c>
      <c r="R57" s="14">
        <v>32</v>
      </c>
      <c r="S57" s="12" t="s">
        <v>97</v>
      </c>
      <c r="T57" s="143">
        <v>29.7</v>
      </c>
      <c r="U57" s="15"/>
      <c r="V57"/>
      <c r="W57" s="28" t="s">
        <v>110</v>
      </c>
      <c r="X57" s="140">
        <f>X22*5*B6*0.000000001*1000</f>
        <v>1.5625E-4</v>
      </c>
      <c r="Y57" s="8" t="s">
        <v>10</v>
      </c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 s="5"/>
      <c r="H58" s="5"/>
      <c r="I58"/>
      <c r="J58"/>
      <c r="K58"/>
      <c r="L58"/>
      <c r="M58"/>
      <c r="N58"/>
      <c r="O58"/>
      <c r="P58"/>
      <c r="Q58" s="4" t="str">
        <f t="shared" si="0"/>
        <v>323,1,1,3</v>
      </c>
      <c r="R58" s="14">
        <v>32</v>
      </c>
      <c r="S58" s="12" t="s">
        <v>119</v>
      </c>
      <c r="T58" s="143">
        <v>28.4</v>
      </c>
      <c r="U58" s="15"/>
      <c r="V58"/>
      <c r="W58" s="28"/>
      <c r="X58" s="140"/>
      <c r="Y58" s="8"/>
      <c r="Z58"/>
      <c r="AA58"/>
      <c r="AB58"/>
      <c r="AC58"/>
      <c r="AD58"/>
      <c r="AE58"/>
      <c r="AF58"/>
      <c r="AG58"/>
    </row>
    <row r="59" spans="1:33" s="10" customFormat="1" hidden="1" x14ac:dyDescent="0.55000000000000004">
      <c r="A59" s="3"/>
      <c r="B59" s="3"/>
      <c r="C59" s="3"/>
      <c r="D59" s="5"/>
      <c r="E59" s="5"/>
      <c r="F59"/>
      <c r="G59" s="5"/>
      <c r="H59" s="5"/>
      <c r="I59"/>
      <c r="J59"/>
      <c r="K59"/>
      <c r="L59"/>
      <c r="M59"/>
      <c r="N59"/>
      <c r="O59"/>
      <c r="P59"/>
      <c r="Q59" s="4" t="str">
        <f t="shared" si="0"/>
        <v>481,1</v>
      </c>
      <c r="R59" s="14">
        <v>48</v>
      </c>
      <c r="S59" s="12" t="s">
        <v>92</v>
      </c>
      <c r="T59" s="143">
        <v>44.5</v>
      </c>
      <c r="U59" s="15"/>
      <c r="V59"/>
      <c r="W59" s="28"/>
      <c r="X59" s="140"/>
      <c r="Y59" s="8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 s="5"/>
      <c r="H60" s="5"/>
      <c r="I60"/>
      <c r="J60"/>
      <c r="K60"/>
      <c r="L60"/>
      <c r="M60"/>
      <c r="N60"/>
      <c r="O60"/>
      <c r="P60"/>
      <c r="Q60" s="4" t="str">
        <f t="shared" si="0"/>
        <v>482,2</v>
      </c>
      <c r="R60" s="14">
        <v>48</v>
      </c>
      <c r="S60" s="12" t="s">
        <v>93</v>
      </c>
      <c r="T60" s="143">
        <v>35.4</v>
      </c>
      <c r="U60" s="15"/>
      <c r="V60"/>
      <c r="W60" s="28"/>
      <c r="X60" s="140"/>
      <c r="Y60" s="8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 s="5"/>
      <c r="H61" s="5"/>
      <c r="I61"/>
      <c r="J61"/>
      <c r="K61"/>
      <c r="L61"/>
      <c r="M61"/>
      <c r="N61"/>
      <c r="O61"/>
      <c r="P61"/>
      <c r="Q61" s="4" t="str">
        <f t="shared" si="0"/>
        <v>483,3</v>
      </c>
      <c r="R61" s="14">
        <v>48</v>
      </c>
      <c r="S61" s="12" t="s">
        <v>211</v>
      </c>
      <c r="T61" s="143">
        <v>31.6</v>
      </c>
      <c r="U61" s="15"/>
      <c r="V61"/>
      <c r="W61" s="28"/>
      <c r="X61" s="140"/>
      <c r="Y61" s="8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 s="5"/>
      <c r="H62" s="5"/>
      <c r="I62"/>
      <c r="J62"/>
      <c r="K62"/>
      <c r="L62"/>
      <c r="M62"/>
      <c r="N62"/>
      <c r="O62"/>
      <c r="P62"/>
      <c r="Q62" s="4" t="str">
        <f t="shared" si="0"/>
        <v>481,1,1,1</v>
      </c>
      <c r="R62" s="14">
        <v>48</v>
      </c>
      <c r="S62" s="12" t="s">
        <v>96</v>
      </c>
      <c r="T62" s="143">
        <v>29.5</v>
      </c>
      <c r="U62" s="15"/>
      <c r="V62"/>
      <c r="W62" s="28"/>
      <c r="X62" s="140"/>
      <c r="Y62" s="8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 s="5"/>
      <c r="H63" s="5"/>
      <c r="I63"/>
      <c r="J63"/>
      <c r="K63"/>
      <c r="L63"/>
      <c r="M63"/>
      <c r="N63"/>
      <c r="O63"/>
      <c r="P63"/>
      <c r="Q63" s="4" t="str">
        <f t="shared" si="0"/>
        <v>482,1,1,2</v>
      </c>
      <c r="R63" s="14">
        <v>48</v>
      </c>
      <c r="S63" s="12" t="s">
        <v>97</v>
      </c>
      <c r="T63" s="143">
        <v>27</v>
      </c>
      <c r="U63" s="15"/>
      <c r="V63"/>
      <c r="W63" s="28"/>
      <c r="X63" s="140"/>
      <c r="Y63" s="8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 s="5"/>
      <c r="H64" s="5"/>
      <c r="I64"/>
      <c r="J64"/>
      <c r="K64"/>
      <c r="L64"/>
      <c r="M64"/>
      <c r="N64"/>
      <c r="O64"/>
      <c r="P64"/>
      <c r="Q64" s="4" t="str">
        <f t="shared" si="0"/>
        <v>483,1,1,3</v>
      </c>
      <c r="R64" s="14">
        <v>48</v>
      </c>
      <c r="S64" s="12" t="s">
        <v>119</v>
      </c>
      <c r="T64" s="143">
        <v>25.5</v>
      </c>
      <c r="U64" s="15"/>
      <c r="V64"/>
      <c r="W64" s="28"/>
      <c r="X64" s="140"/>
      <c r="Y64" s="8"/>
      <c r="Z64"/>
      <c r="AA64"/>
      <c r="AB64"/>
      <c r="AC64"/>
      <c r="AD64"/>
      <c r="AE64"/>
      <c r="AF64"/>
      <c r="AG64"/>
    </row>
    <row r="65" spans="1:33" s="10" customFormat="1" ht="43.2" hidden="1" x14ac:dyDescent="0.55000000000000004">
      <c r="A65" s="3"/>
      <c r="B65" s="3"/>
      <c r="C65" s="3"/>
      <c r="D65" s="5"/>
      <c r="E65" s="5"/>
      <c r="F65"/>
      <c r="G65" s="5"/>
      <c r="H65" s="5"/>
      <c r="I65"/>
      <c r="J65"/>
      <c r="K65"/>
      <c r="L65"/>
      <c r="M65"/>
      <c r="N65"/>
      <c r="O65"/>
      <c r="P65"/>
      <c r="Q65" s="4" t="str">
        <f t="shared" si="0"/>
        <v>641,1</v>
      </c>
      <c r="R65" s="14">
        <v>64</v>
      </c>
      <c r="S65" s="12" t="s">
        <v>92</v>
      </c>
      <c r="T65" s="143">
        <v>43.7</v>
      </c>
      <c r="U65" s="15"/>
      <c r="V65"/>
      <c r="W65" s="28" t="s">
        <v>149</v>
      </c>
      <c r="X65" s="8">
        <f>X54+X56+X57</f>
        <v>1.3451562500000003</v>
      </c>
      <c r="Y65" s="8" t="s">
        <v>10</v>
      </c>
      <c r="Z65"/>
      <c r="AA65"/>
      <c r="AB65"/>
      <c r="AC65"/>
      <c r="AD65"/>
      <c r="AE65"/>
      <c r="AF65"/>
      <c r="AG65"/>
    </row>
    <row r="66" spans="1:33" s="10" customFormat="1" hidden="1" x14ac:dyDescent="0.55000000000000004">
      <c r="A66" s="3"/>
      <c r="B66" s="3"/>
      <c r="C66" s="3"/>
      <c r="D66" s="5"/>
      <c r="E66" s="5"/>
      <c r="F66"/>
      <c r="G66" s="5"/>
      <c r="H66" s="5"/>
      <c r="I66"/>
      <c r="J66"/>
      <c r="K66"/>
      <c r="L66"/>
      <c r="M66"/>
      <c r="N66"/>
      <c r="O66"/>
      <c r="P66"/>
      <c r="Q66" s="4" t="str">
        <f t="shared" si="0"/>
        <v>642,2</v>
      </c>
      <c r="R66" s="14">
        <v>64</v>
      </c>
      <c r="S66" s="12" t="s">
        <v>93</v>
      </c>
      <c r="T66" s="144">
        <v>34.200000000000003</v>
      </c>
      <c r="U66" s="15"/>
      <c r="V66"/>
      <c r="W66" s="11" t="s">
        <v>113</v>
      </c>
      <c r="X66" s="139">
        <f>3*2*B4*X35*B6*0.7/1000</f>
        <v>0.10237499999999999</v>
      </c>
      <c r="Y66" s="8" t="s">
        <v>10</v>
      </c>
      <c r="Z66"/>
      <c r="AA66"/>
      <c r="AB66"/>
      <c r="AC66"/>
      <c r="AD66"/>
      <c r="AE66"/>
      <c r="AF66"/>
      <c r="AG66"/>
    </row>
    <row r="67" spans="1:33" s="10" customFormat="1" hidden="1" x14ac:dyDescent="0.55000000000000004">
      <c r="A67" s="3"/>
      <c r="B67" s="3"/>
      <c r="C67" s="3"/>
      <c r="D67" s="5"/>
      <c r="E67" s="5"/>
      <c r="F67"/>
      <c r="G67" s="5"/>
      <c r="H67" s="5"/>
      <c r="I67"/>
      <c r="J67"/>
      <c r="K67"/>
      <c r="L67"/>
      <c r="M67"/>
      <c r="N67"/>
      <c r="O67"/>
      <c r="P67"/>
      <c r="Q67" s="4" t="str">
        <f t="shared" si="0"/>
        <v>643,3</v>
      </c>
      <c r="R67" s="14">
        <v>64</v>
      </c>
      <c r="S67" s="12" t="s">
        <v>211</v>
      </c>
      <c r="T67" s="144">
        <v>30.2</v>
      </c>
      <c r="U67" s="15"/>
      <c r="V67"/>
      <c r="W67" s="11"/>
      <c r="X67" s="139"/>
      <c r="Y67" s="8"/>
      <c r="Z67"/>
      <c r="AA67"/>
      <c r="AB67"/>
      <c r="AC67"/>
      <c r="AD67"/>
      <c r="AE67"/>
      <c r="AF67"/>
      <c r="AG67"/>
    </row>
    <row r="68" spans="1:33" s="10" customFormat="1" ht="43.2" hidden="1" x14ac:dyDescent="0.55000000000000004">
      <c r="A68" s="3"/>
      <c r="B68" s="3"/>
      <c r="C68" s="3"/>
      <c r="D68" s="5"/>
      <c r="E68" s="5"/>
      <c r="F68"/>
      <c r="G68" s="5"/>
      <c r="H68" s="5"/>
      <c r="I68"/>
      <c r="J68"/>
      <c r="K68"/>
      <c r="L68"/>
      <c r="M68"/>
      <c r="N68"/>
      <c r="O68"/>
      <c r="P68"/>
      <c r="Q68" s="4" t="str">
        <f t="shared" si="0"/>
        <v>641,1,1,1</v>
      </c>
      <c r="R68" s="14">
        <v>64</v>
      </c>
      <c r="S68" s="12" t="s">
        <v>96</v>
      </c>
      <c r="T68" s="143">
        <v>28.2</v>
      </c>
      <c r="U68" s="15"/>
      <c r="V68"/>
      <c r="W68" s="28" t="s">
        <v>115</v>
      </c>
      <c r="X68" s="139">
        <f>(B3-3.3)*B8*0.001</f>
        <v>4.3500000000000004E-2</v>
      </c>
      <c r="Y68" s="8" t="s">
        <v>10</v>
      </c>
      <c r="Z68"/>
      <c r="AA68"/>
      <c r="AB68"/>
      <c r="AC68"/>
      <c r="AD68"/>
      <c r="AE68"/>
      <c r="AF68"/>
      <c r="AG68"/>
    </row>
    <row r="69" spans="1:33" s="10" customFormat="1" hidden="1" x14ac:dyDescent="0.55000000000000004">
      <c r="A69" s="3"/>
      <c r="B69" s="3"/>
      <c r="C69" s="3"/>
      <c r="D69" s="5"/>
      <c r="E69" s="5"/>
      <c r="F69"/>
      <c r="G69" s="5"/>
      <c r="H69" s="5"/>
      <c r="I69"/>
      <c r="J69"/>
      <c r="K69"/>
      <c r="L69"/>
      <c r="M69"/>
      <c r="N69"/>
      <c r="O69"/>
      <c r="P69"/>
      <c r="Q69" s="4" t="str">
        <f t="shared" si="0"/>
        <v>642,1,1,2</v>
      </c>
      <c r="R69" s="36">
        <v>64</v>
      </c>
      <c r="S69" s="37" t="s">
        <v>97</v>
      </c>
      <c r="T69" s="145">
        <v>25.6</v>
      </c>
      <c r="U69" s="38"/>
      <c r="V69"/>
      <c r="W69" s="11" t="s">
        <v>117</v>
      </c>
      <c r="X69" s="139">
        <v>6.25E-2</v>
      </c>
      <c r="Y69" s="5" t="s">
        <v>10</v>
      </c>
      <c r="Z69" s="8" t="s">
        <v>118</v>
      </c>
      <c r="AA69"/>
      <c r="AB69"/>
      <c r="AC69"/>
      <c r="AD69"/>
      <c r="AE69"/>
      <c r="AF69"/>
      <c r="AG69"/>
    </row>
    <row r="70" spans="1:33" s="10" customFormat="1" ht="43.2" hidden="1" x14ac:dyDescent="0.55000000000000004">
      <c r="A70" s="3"/>
      <c r="B70" s="3"/>
      <c r="C70" s="3"/>
      <c r="D70" s="5"/>
      <c r="E70" s="5"/>
      <c r="F70"/>
      <c r="G70" s="5"/>
      <c r="H70" s="5"/>
      <c r="I70"/>
      <c r="J70"/>
      <c r="K70"/>
      <c r="L70"/>
      <c r="M70"/>
      <c r="N70"/>
      <c r="O70"/>
      <c r="P70"/>
      <c r="Q70" s="40" t="str">
        <f t="shared" si="0"/>
        <v>643,1,1,3</v>
      </c>
      <c r="R70" s="39">
        <v>64</v>
      </c>
      <c r="S70" s="12" t="s">
        <v>119</v>
      </c>
      <c r="T70" s="143">
        <v>24.1</v>
      </c>
      <c r="U70" s="41"/>
      <c r="V70"/>
      <c r="W70" s="28" t="s">
        <v>150</v>
      </c>
      <c r="X70" s="8">
        <f>ROUND((3*X29*B4)-E3,2)</f>
        <v>25.13</v>
      </c>
      <c r="Y70" s="8" t="s">
        <v>10</v>
      </c>
      <c r="Z70"/>
      <c r="AA70"/>
      <c r="AB70"/>
      <c r="AC70"/>
      <c r="AD70"/>
      <c r="AE70"/>
      <c r="AF70"/>
      <c r="AG70"/>
    </row>
    <row r="71" spans="1:33" s="10" customFormat="1" hidden="1" x14ac:dyDescent="0.55000000000000004">
      <c r="A71" s="24"/>
      <c r="B71" s="24"/>
      <c r="C71" s="24"/>
      <c r="D71" s="5"/>
      <c r="E71" s="5"/>
      <c r="F71" s="5"/>
      <c r="G71"/>
      <c r="H71"/>
      <c r="I71"/>
      <c r="J71"/>
      <c r="K71"/>
      <c r="L71"/>
      <c r="M71"/>
      <c r="N71"/>
      <c r="O71"/>
      <c r="P71"/>
      <c r="Q71" s="40"/>
      <c r="R71" s="39"/>
      <c r="S71" s="12"/>
      <c r="T71" s="143"/>
      <c r="U71" s="4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 hidden="1" x14ac:dyDescent="0.55000000000000004">
      <c r="A72" s="25"/>
      <c r="B72" s="3"/>
      <c r="C72" s="3"/>
      <c r="D72" s="5"/>
      <c r="E72" s="3"/>
      <c r="F72" s="3"/>
      <c r="G72" s="5"/>
      <c r="H72"/>
      <c r="I72"/>
      <c r="J72"/>
      <c r="K72"/>
      <c r="L72"/>
      <c r="M72"/>
      <c r="N72"/>
      <c r="O72"/>
      <c r="P72"/>
      <c r="Q72" s="40"/>
      <c r="R72" s="39"/>
      <c r="S72" s="12"/>
      <c r="T72" s="143"/>
      <c r="U72" s="41"/>
      <c r="V72"/>
      <c r="W72"/>
      <c r="X72"/>
      <c r="Y72"/>
      <c r="Z72"/>
      <c r="AA72"/>
      <c r="AB72"/>
      <c r="AC72"/>
      <c r="AD72"/>
      <c r="AE72"/>
      <c r="AF72"/>
      <c r="AG72"/>
    </row>
    <row r="73" spans="1:33" s="10" customFormat="1" hidden="1" x14ac:dyDescent="0.55000000000000004">
      <c r="A73" s="3"/>
      <c r="B73" s="3"/>
      <c r="C73" s="3"/>
      <c r="D73" s="5"/>
      <c r="E73" s="5"/>
      <c r="F73" s="5"/>
      <c r="G73"/>
      <c r="H73"/>
      <c r="I73"/>
      <c r="J73"/>
      <c r="K73"/>
      <c r="L73"/>
      <c r="M73"/>
      <c r="N73"/>
      <c r="O73"/>
      <c r="P73"/>
      <c r="Q73" s="40"/>
      <c r="R73" s="39"/>
      <c r="S73" s="12"/>
      <c r="T73" s="143"/>
      <c r="U73" s="41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10" customFormat="1" ht="14.7" hidden="1" thickBot="1" x14ac:dyDescent="0.6">
      <c r="A74" s="23"/>
      <c r="B74" s="3"/>
      <c r="C74" s="3"/>
      <c r="D74" s="5"/>
      <c r="E74" s="5"/>
      <c r="F74"/>
      <c r="G74"/>
      <c r="H74"/>
      <c r="I74"/>
      <c r="J74"/>
      <c r="K74"/>
      <c r="L74"/>
      <c r="M74"/>
      <c r="N74"/>
      <c r="O74"/>
      <c r="P74"/>
      <c r="Q74" s="40"/>
      <c r="R74" s="132"/>
      <c r="S74" s="133"/>
      <c r="T74" s="146"/>
      <c r="U74" s="42"/>
      <c r="V74"/>
      <c r="W74"/>
      <c r="X74"/>
      <c r="Y74"/>
      <c r="Z74"/>
      <c r="AA74"/>
      <c r="AB74"/>
      <c r="AC74"/>
      <c r="AD74"/>
      <c r="AE74"/>
      <c r="AF74"/>
      <c r="AG74"/>
    </row>
    <row r="75" spans="1:33" s="4" customFormat="1" hidden="1" x14ac:dyDescent="0.55000000000000004">
      <c r="A75" s="24"/>
      <c r="B75" s="24"/>
      <c r="C75" s="24"/>
      <c r="D75" s="5"/>
      <c r="E75" s="5"/>
      <c r="F75"/>
    </row>
    <row r="76" spans="1:33" s="4" customFormat="1" hidden="1" x14ac:dyDescent="0.55000000000000004">
      <c r="A76" s="25"/>
      <c r="D76" s="7"/>
      <c r="E76" s="7"/>
    </row>
    <row r="77" spans="1:33" s="10" customFormat="1" hidden="1" x14ac:dyDescent="0.55000000000000004">
      <c r="A77" s="24"/>
      <c r="B77" s="24"/>
      <c r="C77" s="24"/>
      <c r="D77" s="7"/>
      <c r="E77" s="7"/>
      <c r="F77" s="4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10" customFormat="1" hidden="1" x14ac:dyDescent="0.55000000000000004">
      <c r="A78" s="24"/>
      <c r="B78" s="3"/>
      <c r="C78" s="3"/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s="10" customFormat="1" hidden="1" x14ac:dyDescent="0.55000000000000004">
      <c r="A79" s="3"/>
      <c r="B79" s="3"/>
      <c r="C79" s="3"/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s="10" customFormat="1" hidden="1" x14ac:dyDescent="0.55000000000000004">
      <c r="A80" s="3"/>
      <c r="B80" s="3"/>
      <c r="C80" s="3"/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7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7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7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7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7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7" s="10" customFormat="1" ht="43.5" hidden="1" customHeight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7" s="10" customFormat="1" hidden="1" x14ac:dyDescent="0.55000000000000004">
      <c r="A87" s="3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7" s="10" customFormat="1" hidden="1" x14ac:dyDescent="0.55000000000000004">
      <c r="A88" s="3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7" s="10" customFormat="1" hidden="1" x14ac:dyDescent="0.55000000000000004">
      <c r="A89" s="3"/>
      <c r="B89" s="3"/>
      <c r="C89" s="3"/>
      <c r="D89" s="5"/>
      <c r="E89" s="5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7" s="10" customFormat="1" hidden="1" x14ac:dyDescent="0.55000000000000004">
      <c r="A90" s="3"/>
      <c r="B90" s="3"/>
      <c r="C90" s="3"/>
      <c r="D90" s="5"/>
      <c r="E90" s="5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7" s="10" customFormat="1" hidden="1" x14ac:dyDescent="0.55000000000000004">
      <c r="A91" s="3"/>
      <c r="B91" s="3"/>
      <c r="C91" s="3"/>
      <c r="D91" s="5"/>
      <c r="E91" s="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7" s="3" customFormat="1" hidden="1" x14ac:dyDescent="0.55000000000000004">
      <c r="D92" s="5"/>
      <c r="E92" s="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 s="10"/>
      <c r="AI92" s="10"/>
      <c r="AJ92" s="10"/>
      <c r="AK92" s="10"/>
    </row>
    <row r="93" spans="1:37" s="3" customFormat="1" hidden="1" x14ac:dyDescent="0.55000000000000004">
      <c r="D93" s="5"/>
      <c r="E93" s="5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 s="10"/>
      <c r="AI93" s="10"/>
      <c r="AJ93" s="10"/>
      <c r="AK93" s="10"/>
    </row>
    <row r="94" spans="1:37" s="3" customFormat="1" hidden="1" x14ac:dyDescent="0.55000000000000004">
      <c r="D94" s="5"/>
      <c r="E94" s="5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 s="10"/>
      <c r="AI94" s="10"/>
      <c r="AJ94" s="10"/>
      <c r="AK94" s="10"/>
    </row>
    <row r="95" spans="1:37" s="3" customFormat="1" hidden="1" x14ac:dyDescent="0.55000000000000004">
      <c r="D95" s="5"/>
      <c r="E95" s="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 s="10"/>
      <c r="AI95" s="10"/>
      <c r="AJ95" s="10"/>
      <c r="AK95" s="10"/>
    </row>
    <row r="96" spans="1:37" s="3" customFormat="1" hidden="1" x14ac:dyDescent="0.55000000000000004">
      <c r="D96" s="5"/>
      <c r="E96" s="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 s="10"/>
      <c r="AI96" s="10"/>
      <c r="AJ96" s="10"/>
      <c r="AK96" s="10"/>
    </row>
    <row r="97" spans="1:37" s="3" customFormat="1" hidden="1" x14ac:dyDescent="0.55000000000000004">
      <c r="D97" s="5"/>
      <c r="E97" s="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 s="10"/>
      <c r="AI97" s="10"/>
      <c r="AJ97" s="10"/>
      <c r="AK97" s="10"/>
    </row>
    <row r="98" spans="1:37" s="3" customFormat="1" hidden="1" x14ac:dyDescent="0.55000000000000004">
      <c r="D98" s="5"/>
      <c r="E98" s="5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 s="10"/>
      <c r="AI98" s="10"/>
      <c r="AJ98" s="10"/>
      <c r="AK98" s="10"/>
    </row>
    <row r="99" spans="1:37" s="3" customFormat="1" hidden="1" x14ac:dyDescent="0.55000000000000004">
      <c r="D99" s="5"/>
      <c r="E99" s="5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 s="10"/>
      <c r="AI99" s="10"/>
      <c r="AJ99" s="10"/>
      <c r="AK99" s="10"/>
    </row>
    <row r="100" spans="1:37" s="3" customFormat="1" hidden="1" x14ac:dyDescent="0.55000000000000004">
      <c r="D100" s="5"/>
      <c r="E100" s="5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 s="10"/>
      <c r="AI100" s="10"/>
      <c r="AJ100" s="10"/>
      <c r="AK100" s="10"/>
    </row>
    <row r="101" spans="1:37" s="3" customFormat="1" hidden="1" x14ac:dyDescent="0.55000000000000004">
      <c r="D101" s="5"/>
      <c r="E101" s="5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 s="10"/>
      <c r="AI101" s="10"/>
      <c r="AJ101" s="10"/>
      <c r="AK101" s="10"/>
    </row>
    <row r="102" spans="1:37" s="3" customFormat="1" hidden="1" x14ac:dyDescent="0.55000000000000004">
      <c r="D102" s="5"/>
      <c r="E102" s="5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 s="10"/>
      <c r="AI102" s="10"/>
      <c r="AJ102" s="10"/>
      <c r="AK102" s="10"/>
    </row>
    <row r="103" spans="1:37" s="3" customFormat="1" hidden="1" x14ac:dyDescent="0.55000000000000004">
      <c r="D103" s="5"/>
      <c r="E103" s="5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 s="10"/>
      <c r="AI103" s="10"/>
      <c r="AJ103" s="10"/>
      <c r="AK103" s="10"/>
    </row>
    <row r="104" spans="1:37" s="3" customFormat="1" hidden="1" x14ac:dyDescent="0.55000000000000004">
      <c r="D104" s="5"/>
      <c r="E104" s="5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 s="10"/>
      <c r="AI104" s="10"/>
      <c r="AJ104" s="10"/>
      <c r="AK104" s="10"/>
    </row>
    <row r="105" spans="1:37" s="3" customFormat="1" hidden="1" x14ac:dyDescent="0.55000000000000004">
      <c r="D105" s="5"/>
      <c r="E105" s="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 s="10"/>
      <c r="AI105" s="10"/>
      <c r="AJ105" s="10"/>
      <c r="AK105" s="10"/>
    </row>
    <row r="106" spans="1:37" s="3" customFormat="1" hidden="1" x14ac:dyDescent="0.55000000000000004">
      <c r="D106" s="5"/>
      <c r="E106" s="5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 s="10"/>
      <c r="AI106" s="10"/>
      <c r="AJ106" s="10"/>
      <c r="AK106" s="10"/>
    </row>
    <row r="107" spans="1:37" s="3" customFormat="1" hidden="1" x14ac:dyDescent="0.55000000000000004">
      <c r="D107" s="5"/>
      <c r="E107" s="5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 s="10"/>
      <c r="AI107" s="10"/>
      <c r="AJ107" s="10"/>
      <c r="AK107" s="10"/>
    </row>
    <row r="108" spans="1:37" s="10" customFormat="1" hidden="1" x14ac:dyDescent="0.55000000000000004">
      <c r="A108" s="3"/>
      <c r="B108" s="3"/>
      <c r="C108" s="3"/>
      <c r="D108" s="5"/>
      <c r="E108" s="5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7" s="10" customFormat="1" hidden="1" x14ac:dyDescent="0.55000000000000004">
      <c r="A109" s="3"/>
      <c r="B109" s="3"/>
      <c r="C109" s="3"/>
      <c r="D109" s="5"/>
      <c r="E109" s="5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7" s="10" customFormat="1" hidden="1" x14ac:dyDescent="0.55000000000000004">
      <c r="A110" s="3"/>
      <c r="B110" s="3"/>
      <c r="C110" s="3"/>
      <c r="D110" s="5"/>
      <c r="E110" s="5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7" s="10" customFormat="1" hidden="1" x14ac:dyDescent="0.55000000000000004">
      <c r="A111" s="3"/>
      <c r="B111" s="3"/>
      <c r="C111" s="3"/>
      <c r="D111" s="5"/>
      <c r="E111" s="5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7" s="10" customFormat="1" hidden="1" x14ac:dyDescent="0.55000000000000004">
      <c r="A112" s="3"/>
      <c r="B112" s="3"/>
      <c r="C112" s="3"/>
      <c r="D112" s="5"/>
      <c r="E112" s="5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5"/>
    </row>
    <row r="113" spans="1:33" s="10" customFormat="1" hidden="1" x14ac:dyDescent="0.55000000000000004">
      <c r="A113" s="2"/>
      <c r="B113" s="3"/>
      <c r="C113" s="3"/>
      <c r="D113" s="5"/>
      <c r="E113" s="5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5"/>
    </row>
    <row r="114" spans="1:33" s="10" customFormat="1" hidden="1" x14ac:dyDescent="0.55000000000000004">
      <c r="A114" s="2"/>
      <c r="B114" s="3"/>
      <c r="C114" s="3"/>
      <c r="D114" s="5"/>
      <c r="E114" s="5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5"/>
    </row>
  </sheetData>
  <sheetProtection algorithmName="SHA-512" hashValue="tMRfpHfWyUF0tqmI60jM5WjGV+kpslnwLJywz2+UmIfeskF6yN2bNNXCyDVMa80KOptJYy33yI3oDWvaHKIQFw==" saltValue="ksq3af1HTgI10ALDeewGKQ==" spinCount="100000" sheet="1" selectLockedCells="1"/>
  <mergeCells count="8">
    <mergeCell ref="AC15:AD15"/>
    <mergeCell ref="AE15:AF15"/>
    <mergeCell ref="AG15:AH15"/>
    <mergeCell ref="R18:T18"/>
    <mergeCell ref="R21:U21"/>
    <mergeCell ref="B1:F1"/>
    <mergeCell ref="A14:C14"/>
    <mergeCell ref="R15:U15"/>
  </mergeCells>
  <dataValidations count="14">
    <dataValidation type="decimal" allowBlank="1" showInputMessage="1" showErrorMessage="1" error="AVDD output current out of range" prompt="Enter the AVDD output load current between 0 to 20 mA" sqref="B8" xr:uid="{D47DC66C-7E16-4037-B783-79EFE1A15CC7}">
      <formula1>0</formula1>
      <formula2>20</formula2>
    </dataValidation>
    <dataValidation type="list" allowBlank="1" showInputMessage="1" showErrorMessage="1" prompt="Select copper thickness of top/bottom layers (oz)" sqref="B13" xr:uid="{6B8A8CA2-7622-44E4-A936-933F1C23DAB6}">
      <formula1>$J$16:$J$20</formula1>
    </dataValidation>
    <dataValidation type="list" allowBlank="1" showInputMessage="1" showErrorMessage="1" prompt="Select copper thickness of top/bottom layers (oz)" sqref="B12" xr:uid="{1E5EE9C9-9EDF-4728-9FD6-454950516106}">
      <formula1>$H$16:$H$18</formula1>
    </dataValidation>
    <dataValidation type="list" allowBlank="1" showInputMessage="1" showErrorMessage="1" prompt="Select PWM modulation type" sqref="B5" xr:uid="{3638AC8E-1F43-47C6-B483-2C805A95659E}">
      <formula1>$N$16:$N$17</formula1>
    </dataValidation>
    <dataValidation type="list" allowBlank="1" showInputMessage="1" showErrorMessage="1" error="This PWM frequency is outside of the operating range of the DRV8316" prompt="Select a PWM frequency between 10kHz and 75kHz" sqref="B6" xr:uid="{668EC9FB-D93C-4BF6-B18A-B010E7CB87D4}">
      <formula1>$M$16:$M$32</formula1>
    </dataValidation>
    <dataValidation type="list" allowBlank="1" showInputMessage="1" showErrorMessage="1" prompt="Select # of PCB Layers" sqref="B11" xr:uid="{D4C6E423-9748-4FDC-9138-92B267BD3D12}">
      <formula1>$G$16:$G$17</formula1>
    </dataValidation>
    <dataValidation type="list" allowBlank="1" showInputMessage="1" showErrorMessage="1" prompt="Select PCB area (cm2)" sqref="B13" xr:uid="{82A6318D-0C0C-4903-94B0-5386A99A2B33}">
      <formula1>$J$16:$J$23</formula1>
    </dataValidation>
    <dataValidation type="list" allowBlank="1" showInputMessage="1" showErrorMessage="1" prompt="Select an output slew rate setting (V/us)" sqref="B7" xr:uid="{D2FEAD3A-5187-4C2D-AFD9-CF306573AB81}">
      <formula1>$K$16:$K$17</formula1>
    </dataValidation>
    <dataValidation type="decimal" allowBlank="1" showInputMessage="1" showErrorMessage="1" error="This current is outside the operating range of the DRV8316" prompt="Enter an RMS current between 0 and 5.657 amps" sqref="B4" xr:uid="{4E01442D-6E62-4A58-8AD1-44C9D570509C}">
      <formula1>0</formula1>
      <formula2>5.657</formula2>
    </dataValidation>
    <dataValidation type="list" allowBlank="1" showInputMessage="1" showErrorMessage="1" prompt="Select copper thickness of top/bottom layers (oz)" sqref="X23 AF15 AB9" xr:uid="{8B181AF8-D48F-41B6-A460-24C3B40B70B6}">
      <formula1>$H$16:$H$17</formula1>
    </dataValidation>
    <dataValidation type="list" allowBlank="1" showInputMessage="1" showErrorMessage="1" prompt="Select copper thickness of internal layers if more than 2 layer PCB (oz)" sqref="X23" xr:uid="{A8426C7F-DE7E-4E6E-9884-928C5EF73243}">
      <formula1>$I$16:$I$17</formula1>
    </dataValidation>
    <dataValidation type="decimal" allowBlank="1" showInputMessage="1" showErrorMessage="1" error="This voltage is outside the operating range of the DRV8316" prompt="Enter a motor supply voltage between 4.5 to 35 volts" sqref="B3" xr:uid="{75F6EFD8-F0D3-4C7F-A704-47E2061DDB95}">
      <formula1>4.5</formula1>
      <formula2>35</formula2>
    </dataValidation>
    <dataValidation allowBlank="1" showInputMessage="1" showErrorMessage="1" prompt="Enter the operating ambient temperature" sqref="X21" xr:uid="{4AF16AAB-B7B5-4E8B-86EF-9B3C403759FE}"/>
    <dataValidation type="decimal" allowBlank="1" showInputMessage="1" showErrorMessage="1" error="This ambient temperature is outside the operating range of the DRV8316" prompt="Enter the ambient temperature for normal operation from -40C to 125C" sqref="B9" xr:uid="{AE463F13-BEF1-4155-9C7E-A2A402991368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94607-0CD2-4883-82B2-BCFD4A3FAA76}">
  <dimension ref="A1:AK114"/>
  <sheetViews>
    <sheetView zoomScale="70" zoomScaleNormal="70" workbookViewId="0">
      <selection activeCell="B6" sqref="B6"/>
    </sheetView>
  </sheetViews>
  <sheetFormatPr defaultColWidth="0" defaultRowHeight="14.4" customHeight="1" zeroHeight="1" x14ac:dyDescent="0.55000000000000004"/>
  <cols>
    <col min="1" max="1" width="56.26171875" style="2" customWidth="1"/>
    <col min="2" max="2" width="13.41796875" style="3" customWidth="1"/>
    <col min="3" max="3" width="7.26171875" style="3" bestFit="1" customWidth="1"/>
    <col min="4" max="4" width="20.83984375" style="5" customWidth="1"/>
    <col min="5" max="5" width="24.83984375" style="5" customWidth="1"/>
    <col min="6" max="6" width="29.20703125" customWidth="1"/>
    <col min="7" max="17" width="8.83984375" hidden="1"/>
    <col min="18" max="18" width="13" hidden="1"/>
    <col min="19" max="19" width="7.9453125" hidden="1"/>
    <col min="20" max="20" width="14.26171875" hidden="1"/>
    <col min="21" max="21" width="13.62890625" hidden="1"/>
    <col min="22" max="25" width="8.83984375" hidden="1"/>
    <col min="26" max="26" width="33.62890625" hidden="1"/>
    <col min="27" max="33" width="8.83984375" hidden="1"/>
    <col min="34" max="37" width="8.83984375" style="10" hidden="1"/>
    <col min="38" max="16384" width="8.83984375" hidden="1"/>
  </cols>
  <sheetData>
    <row r="1" spans="1:37" ht="75.599999999999994" customHeight="1" thickBot="1" x14ac:dyDescent="0.6">
      <c r="A1" s="142" t="s">
        <v>206</v>
      </c>
      <c r="B1" s="185" t="s">
        <v>207</v>
      </c>
      <c r="C1" s="185"/>
      <c r="D1" s="185"/>
      <c r="E1" s="185"/>
      <c r="F1" s="185"/>
    </row>
    <row r="2" spans="1:37" ht="41.4" customHeight="1" thickBot="1" x14ac:dyDescent="0.6">
      <c r="A2" s="106" t="s">
        <v>2</v>
      </c>
      <c r="B2" s="107" t="s">
        <v>208</v>
      </c>
      <c r="C2" s="108" t="s">
        <v>4</v>
      </c>
      <c r="D2" s="109" t="s">
        <v>5</v>
      </c>
      <c r="E2" s="110" t="s">
        <v>6</v>
      </c>
      <c r="F2" s="110" t="s">
        <v>4</v>
      </c>
    </row>
    <row r="3" spans="1:37" ht="14.5" customHeight="1" thickBot="1" x14ac:dyDescent="0.6">
      <c r="A3" s="86" t="s">
        <v>7</v>
      </c>
      <c r="B3" s="171">
        <v>24</v>
      </c>
      <c r="C3" s="112" t="s">
        <v>8</v>
      </c>
      <c r="D3" s="66" t="s">
        <v>9</v>
      </c>
      <c r="E3" s="172">
        <f>ROUND(IF(U20=-1,"n/a",$AH$18),2)</f>
        <v>2.4300000000000002</v>
      </c>
      <c r="F3" s="112" t="s">
        <v>10</v>
      </c>
    </row>
    <row r="4" spans="1:37" ht="14.5" customHeight="1" thickBot="1" x14ac:dyDescent="0.6">
      <c r="A4" s="88" t="s">
        <v>140</v>
      </c>
      <c r="B4" s="173">
        <v>1.5</v>
      </c>
      <c r="C4" s="115" t="s">
        <v>12</v>
      </c>
      <c r="D4" s="66" t="s">
        <v>13</v>
      </c>
      <c r="E4" s="174">
        <f>ROUND(IF(U20=-1,"n/a",$AH$19),2)</f>
        <v>170.94</v>
      </c>
      <c r="F4" s="112" t="s">
        <v>84</v>
      </c>
    </row>
    <row r="5" spans="1:37" ht="14.5" customHeight="1" x14ac:dyDescent="0.55000000000000004">
      <c r="A5" s="116" t="s">
        <v>141</v>
      </c>
      <c r="B5" s="173" t="s">
        <v>145</v>
      </c>
      <c r="C5" s="115"/>
      <c r="D5" s="117"/>
      <c r="E5" s="117"/>
      <c r="F5" s="117"/>
    </row>
    <row r="6" spans="1:37" ht="14.5" customHeight="1" x14ac:dyDescent="0.55000000000000004">
      <c r="A6" s="86" t="s">
        <v>24</v>
      </c>
      <c r="B6" s="171">
        <v>25</v>
      </c>
      <c r="C6" s="112" t="s">
        <v>25</v>
      </c>
    </row>
    <row r="7" spans="1:37" ht="14.5" customHeight="1" x14ac:dyDescent="0.55000000000000004">
      <c r="A7" s="92" t="s">
        <v>26</v>
      </c>
      <c r="B7" s="173">
        <v>125</v>
      </c>
      <c r="C7" s="115" t="s">
        <v>27</v>
      </c>
    </row>
    <row r="8" spans="1:37" ht="14.5" customHeight="1" x14ac:dyDescent="0.55000000000000004">
      <c r="A8" s="93" t="s">
        <v>28</v>
      </c>
      <c r="B8" s="175">
        <v>5</v>
      </c>
      <c r="C8" s="78" t="s">
        <v>29</v>
      </c>
    </row>
    <row r="9" spans="1:37" ht="14.5" customHeight="1" thickBot="1" x14ac:dyDescent="0.6">
      <c r="A9" s="118" t="s">
        <v>30</v>
      </c>
      <c r="B9" s="176">
        <v>45</v>
      </c>
      <c r="C9" s="119" t="s">
        <v>14</v>
      </c>
      <c r="Y9" s="25"/>
      <c r="Z9" s="24"/>
      <c r="AA9" s="24"/>
      <c r="AB9" s="3"/>
      <c r="AC9" s="5"/>
    </row>
    <row r="10" spans="1:37" ht="14.5" customHeight="1" thickBot="1" x14ac:dyDescent="0.6">
      <c r="A10" s="120" t="s">
        <v>31</v>
      </c>
      <c r="B10" s="107"/>
      <c r="C10" s="108"/>
    </row>
    <row r="11" spans="1:37" ht="34.15" customHeight="1" x14ac:dyDescent="0.55000000000000004">
      <c r="A11" s="121" t="s">
        <v>32</v>
      </c>
      <c r="B11" s="177">
        <v>4</v>
      </c>
      <c r="C11" s="112" t="s">
        <v>33</v>
      </c>
    </row>
    <row r="12" spans="1:37" ht="14.5" customHeight="1" x14ac:dyDescent="0.55000000000000004">
      <c r="A12" s="123" t="s">
        <v>34</v>
      </c>
      <c r="B12" s="173">
        <v>2</v>
      </c>
      <c r="C12" s="124" t="s">
        <v>35</v>
      </c>
    </row>
    <row r="13" spans="1:37" s="1" customFormat="1" ht="25.5" customHeight="1" thickBot="1" x14ac:dyDescent="0.6">
      <c r="A13" s="118" t="s">
        <v>36</v>
      </c>
      <c r="B13" s="178">
        <v>4</v>
      </c>
      <c r="C13" s="12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6" t="s">
        <v>209</v>
      </c>
      <c r="B14" s="187"/>
      <c r="C14" s="188"/>
      <c r="D14" s="1"/>
      <c r="E14" s="1"/>
      <c r="F14" s="1"/>
      <c r="W14" s="137" t="s">
        <v>39</v>
      </c>
      <c r="X14" s="138" t="s">
        <v>6</v>
      </c>
      <c r="Y14" s="138" t="s">
        <v>4</v>
      </c>
    </row>
    <row r="15" spans="1:37" ht="29.1" hidden="1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9" t="s">
        <v>47</v>
      </c>
      <c r="S15" s="190"/>
      <c r="T15" s="190"/>
      <c r="U15" s="191"/>
      <c r="W15" s="28" t="s">
        <v>48</v>
      </c>
      <c r="X15" s="8">
        <v>1.4829000000000001</v>
      </c>
      <c r="Y15" s="8" t="s">
        <v>12</v>
      </c>
      <c r="AC15" s="192" t="s">
        <v>49</v>
      </c>
      <c r="AD15" s="193"/>
      <c r="AE15" s="192" t="s">
        <v>50</v>
      </c>
      <c r="AF15" s="193"/>
      <c r="AG15" s="192" t="s">
        <v>51</v>
      </c>
      <c r="AH15" s="193"/>
    </row>
    <row r="16" spans="1:37" ht="29.1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125</v>
      </c>
      <c r="L16" s="6">
        <v>0.65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142.5</v>
      </c>
      <c r="AE16" s="29" t="s">
        <v>59</v>
      </c>
      <c r="AF16">
        <f>$X$19+($AA$19*(AD19-25))</f>
        <v>194.72518593750002</v>
      </c>
      <c r="AG16" s="29" t="s">
        <v>60</v>
      </c>
      <c r="AH16">
        <f>$X$19+($AA$19*(AF19-25))</f>
        <v>203.85958593750001</v>
      </c>
    </row>
    <row r="17" spans="1:37" ht="14.7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200</v>
      </c>
      <c r="L17" s="6">
        <v>0.5</v>
      </c>
      <c r="M17" s="6">
        <v>15</v>
      </c>
      <c r="N17" s="6" t="s">
        <v>142</v>
      </c>
      <c r="O17" s="8"/>
      <c r="P17" s="8"/>
      <c r="R17" s="14">
        <f>B12</f>
        <v>2</v>
      </c>
      <c r="S17" s="12">
        <f>IF(B11&gt;2,X23,"")</f>
        <v>1</v>
      </c>
      <c r="T17" s="12">
        <f>IF(B11&gt;2,X23,"")</f>
        <v>1</v>
      </c>
      <c r="U17" s="15">
        <f>B12</f>
        <v>2</v>
      </c>
      <c r="W17" s="28"/>
      <c r="X17" s="8"/>
      <c r="Y17" s="8"/>
      <c r="AC17" s="30" t="s">
        <v>63</v>
      </c>
      <c r="AD17" s="9">
        <f>ROUND(3*$B$4*$B$4*AD16/(1000),3)</f>
        <v>0.96199999999999997</v>
      </c>
      <c r="AE17" s="30" t="s">
        <v>64</v>
      </c>
      <c r="AF17" s="9">
        <f>ROUND(3*$B$4*$B$4*AF16/(1000),3)</f>
        <v>1.3140000000000001</v>
      </c>
      <c r="AG17" s="30" t="s">
        <v>65</v>
      </c>
      <c r="AH17" s="9">
        <f>ROUND(3*$B$4*$B$4*AH16/(1000),3)</f>
        <v>1.3759999999999999</v>
      </c>
    </row>
    <row r="18" spans="1:37" ht="27.3" hidden="1" customHeight="1" thickBot="1" x14ac:dyDescent="0.6">
      <c r="G18" s="6"/>
      <c r="H18" s="6">
        <v>3</v>
      </c>
      <c r="I18" s="6"/>
      <c r="J18" s="26">
        <v>16</v>
      </c>
      <c r="K18" s="6"/>
      <c r="L18" s="6"/>
      <c r="M18" s="6">
        <v>20</v>
      </c>
      <c r="N18" s="6"/>
      <c r="O18" s="8"/>
      <c r="P18" s="8"/>
      <c r="Q18" s="8"/>
      <c r="R18" s="179" t="s">
        <v>66</v>
      </c>
      <c r="S18" s="180"/>
      <c r="T18" s="181"/>
      <c r="U18" s="33" t="s">
        <v>67</v>
      </c>
      <c r="W18" s="28" t="s">
        <v>210</v>
      </c>
      <c r="X18" s="8">
        <v>11</v>
      </c>
      <c r="Y18" s="8" t="s">
        <v>29</v>
      </c>
      <c r="Z18" t="s">
        <v>156</v>
      </c>
      <c r="AC18" s="30" t="s">
        <v>70</v>
      </c>
      <c r="AD18" s="9">
        <f>AD17+$AA$20</f>
        <v>2.0125312500000003</v>
      </c>
      <c r="AE18" s="30" t="s">
        <v>71</v>
      </c>
      <c r="AF18" s="9">
        <f>AF17+$AA$20</f>
        <v>2.3645312500000002</v>
      </c>
      <c r="AG18" s="31" t="s">
        <v>72</v>
      </c>
      <c r="AH18" s="32">
        <f>AH17+$AA$20</f>
        <v>2.42653125</v>
      </c>
    </row>
    <row r="19" spans="1:37" ht="43.5" hidden="1" thickBot="1" x14ac:dyDescent="0.6">
      <c r="G19" s="6"/>
      <c r="H19" s="6"/>
      <c r="I19" s="6"/>
      <c r="J19" s="26">
        <v>20</v>
      </c>
      <c r="K19" s="6"/>
      <c r="L19" s="6"/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132.5</v>
      </c>
      <c r="Y19" s="8" t="s">
        <v>78</v>
      </c>
      <c r="Z19" t="s">
        <v>85</v>
      </c>
      <c r="AA19">
        <f>(X20-X19)/(150-25)</f>
        <v>0.5</v>
      </c>
      <c r="AC19" s="30" t="s">
        <v>79</v>
      </c>
      <c r="AD19" s="9">
        <f>$B$9+(AD18*$X$24)</f>
        <v>149.45037187500003</v>
      </c>
      <c r="AE19" s="30" t="s">
        <v>80</v>
      </c>
      <c r="AF19" s="9">
        <f>$B$9+(AF18*$X$24)</f>
        <v>167.719171875</v>
      </c>
      <c r="AG19" s="31" t="s">
        <v>81</v>
      </c>
      <c r="AH19" s="32">
        <f>$B$9+(AH18*$X$24)</f>
        <v>170.93697187499998</v>
      </c>
    </row>
    <row r="20" spans="1:37" ht="52.2" hidden="1" customHeight="1" x14ac:dyDescent="0.55000000000000004">
      <c r="A20" s="3"/>
      <c r="G20" s="6"/>
      <c r="H20" s="6"/>
      <c r="I20" s="6"/>
      <c r="J20" s="26">
        <v>24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2,1,1,2</v>
      </c>
      <c r="S20" s="12">
        <f>B13</f>
        <v>4</v>
      </c>
      <c r="T20" s="12"/>
      <c r="U20" s="15">
        <f>VLOOKUP(S20&amp;R20,Q23:T74,4,FALSE)</f>
        <v>51.9</v>
      </c>
      <c r="W20" s="28" t="s">
        <v>138</v>
      </c>
      <c r="X20" s="8">
        <v>195</v>
      </c>
      <c r="Y20" s="8" t="s">
        <v>78</v>
      </c>
      <c r="Z20" s="27" t="s">
        <v>146</v>
      </c>
      <c r="AA20">
        <f>X38+X56+X57+X66+X68+X69</f>
        <v>1.0505312500000001</v>
      </c>
    </row>
    <row r="21" spans="1:37" ht="43.2" hidden="1" x14ac:dyDescent="0.55000000000000004">
      <c r="A21" s="3"/>
      <c r="G21" s="5"/>
      <c r="H21" s="5"/>
      <c r="J21" s="26">
        <v>32</v>
      </c>
      <c r="M21" s="6">
        <v>35</v>
      </c>
      <c r="R21" s="182" t="s">
        <v>83</v>
      </c>
      <c r="S21" s="183"/>
      <c r="T21" s="183"/>
      <c r="U21" s="184"/>
      <c r="W21" s="28" t="s">
        <v>30</v>
      </c>
      <c r="X21" s="8">
        <v>25</v>
      </c>
      <c r="Y21" s="8" t="s">
        <v>84</v>
      </c>
    </row>
    <row r="22" spans="1:37" ht="28.8" hidden="1" x14ac:dyDescent="0.55000000000000004">
      <c r="A22" s="3"/>
      <c r="G22" s="5"/>
      <c r="H22" s="5"/>
      <c r="J22" s="26">
        <v>48</v>
      </c>
      <c r="M22" s="6">
        <v>40</v>
      </c>
      <c r="Q22" s="4" t="s">
        <v>86</v>
      </c>
      <c r="R22" s="127" t="s">
        <v>87</v>
      </c>
      <c r="S22" s="128" t="s">
        <v>73</v>
      </c>
      <c r="T22" s="12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43.2" hidden="1" x14ac:dyDescent="0.55000000000000004">
      <c r="A23" s="24"/>
      <c r="B23" s="24"/>
      <c r="C23" s="24"/>
      <c r="G23" s="5"/>
      <c r="H23" s="5"/>
      <c r="J23" s="26">
        <v>64</v>
      </c>
      <c r="M23" s="6">
        <v>45</v>
      </c>
      <c r="Q23" s="4" t="str">
        <f t="shared" ref="Q23:Q70" si="0">R23&amp;S23</f>
        <v>41,1</v>
      </c>
      <c r="R23" s="14">
        <v>4</v>
      </c>
      <c r="S23" s="12" t="s">
        <v>92</v>
      </c>
      <c r="T23" s="143">
        <v>62.2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44">
        <v>54.6</v>
      </c>
      <c r="U24" s="15"/>
      <c r="W24" s="28" t="s">
        <v>94</v>
      </c>
      <c r="X24" s="8">
        <f>U20</f>
        <v>51.9</v>
      </c>
      <c r="Y24" s="8" t="s">
        <v>95</v>
      </c>
    </row>
    <row r="25" spans="1:37" hidden="1" x14ac:dyDescent="0.55000000000000004">
      <c r="A25" s="3"/>
      <c r="G25" s="5"/>
      <c r="H25" s="5"/>
      <c r="M25" s="6">
        <v>55</v>
      </c>
      <c r="Q25" s="4" t="str">
        <f t="shared" si="0"/>
        <v>43,3</v>
      </c>
      <c r="R25" s="14">
        <v>4</v>
      </c>
      <c r="S25" s="12" t="s">
        <v>211</v>
      </c>
      <c r="T25" s="144">
        <v>51</v>
      </c>
      <c r="U25" s="15"/>
      <c r="W25" s="28"/>
      <c r="X25" s="8"/>
      <c r="Y25" s="8"/>
    </row>
    <row r="26" spans="1:37" ht="28.8" hidden="1" x14ac:dyDescent="0.55000000000000004">
      <c r="A26" s="23"/>
      <c r="G26" s="5"/>
      <c r="H26" s="5"/>
      <c r="M26" s="6">
        <v>60</v>
      </c>
      <c r="Q26" s="4" t="str">
        <f t="shared" si="0"/>
        <v>41,1,1,1</v>
      </c>
      <c r="R26" s="14">
        <v>4</v>
      </c>
      <c r="S26" s="12" t="s">
        <v>96</v>
      </c>
      <c r="T26" s="143">
        <v>57.2</v>
      </c>
      <c r="U26" s="15"/>
      <c r="W26" s="137" t="s">
        <v>39</v>
      </c>
      <c r="X26" s="138" t="s">
        <v>6</v>
      </c>
      <c r="Y26" s="138" t="s">
        <v>4</v>
      </c>
    </row>
    <row r="27" spans="1:37" ht="43.2" hidden="1" x14ac:dyDescent="0.55000000000000004">
      <c r="A27" s="3"/>
      <c r="G27" s="5"/>
      <c r="H27" s="5"/>
      <c r="M27" s="6">
        <v>65</v>
      </c>
      <c r="Q27" s="4" t="str">
        <f t="shared" si="0"/>
        <v>42,1,1,2</v>
      </c>
      <c r="R27" s="14">
        <v>4</v>
      </c>
      <c r="S27" s="12" t="s">
        <v>97</v>
      </c>
      <c r="T27" s="143">
        <v>51.9</v>
      </c>
      <c r="U27" s="15"/>
      <c r="W27" s="28" t="s">
        <v>98</v>
      </c>
      <c r="X27" s="8">
        <f>ROUND((B3/SQRT(2))*X16,2)</f>
        <v>16.8</v>
      </c>
      <c r="Y27" s="8" t="s">
        <v>8</v>
      </c>
    </row>
    <row r="28" spans="1:37" hidden="1" x14ac:dyDescent="0.55000000000000004">
      <c r="A28" s="3"/>
      <c r="G28" s="5"/>
      <c r="H28" s="5"/>
      <c r="M28" s="6">
        <v>70</v>
      </c>
      <c r="Q28" s="4" t="str">
        <f t="shared" si="0"/>
        <v>43,1,1,3</v>
      </c>
      <c r="R28" s="14">
        <v>4</v>
      </c>
      <c r="S28" s="12" t="s">
        <v>119</v>
      </c>
      <c r="T28" s="143">
        <v>49.7</v>
      </c>
      <c r="U28" s="15"/>
      <c r="W28" s="28"/>
      <c r="X28" s="8"/>
      <c r="Y28" s="8"/>
    </row>
    <row r="29" spans="1:37" s="1" customFormat="1" ht="57.6" hidden="1" x14ac:dyDescent="0.55000000000000004">
      <c r="A29" s="3"/>
      <c r="B29" s="3"/>
      <c r="C29" s="3"/>
      <c r="D29" s="5"/>
      <c r="E29" s="5"/>
      <c r="F29"/>
      <c r="G29" s="5"/>
      <c r="H29" s="5"/>
      <c r="I29"/>
      <c r="J29"/>
      <c r="K29"/>
      <c r="L29"/>
      <c r="M29" s="6">
        <v>75</v>
      </c>
      <c r="N29"/>
      <c r="O29"/>
      <c r="P29"/>
      <c r="Q29" s="4" t="str">
        <f t="shared" si="0"/>
        <v>81,1</v>
      </c>
      <c r="R29" s="14">
        <v>8</v>
      </c>
      <c r="S29" s="12" t="s">
        <v>92</v>
      </c>
      <c r="T29" s="143">
        <v>49.4</v>
      </c>
      <c r="U29" s="15"/>
      <c r="V29"/>
      <c r="W29" s="28" t="s">
        <v>99</v>
      </c>
      <c r="X29" s="8">
        <f>ROUND(X27/1.41,2)</f>
        <v>11.91</v>
      </c>
      <c r="Y29" s="8" t="s">
        <v>8</v>
      </c>
      <c r="Z29"/>
      <c r="AA29"/>
      <c r="AH29" s="11"/>
      <c r="AI29" s="11"/>
      <c r="AJ29" s="11"/>
      <c r="AK29" s="11"/>
    </row>
    <row r="30" spans="1:37" hidden="1" x14ac:dyDescent="0.55000000000000004">
      <c r="A30" s="1"/>
      <c r="B30" s="1"/>
      <c r="C30" s="1"/>
      <c r="D30" s="6"/>
      <c r="E30" s="6"/>
      <c r="F30" s="1"/>
      <c r="G30" s="5"/>
      <c r="H30" s="5"/>
      <c r="M30" s="6"/>
      <c r="Q30" s="4" t="str">
        <f t="shared" si="0"/>
        <v>82,2</v>
      </c>
      <c r="R30" s="14">
        <v>8</v>
      </c>
      <c r="S30" s="12" t="s">
        <v>93</v>
      </c>
      <c r="T30" s="144">
        <v>42.5</v>
      </c>
      <c r="U30" s="15"/>
      <c r="W30" s="28"/>
      <c r="X30" s="8"/>
      <c r="Y30" s="8"/>
    </row>
    <row r="31" spans="1:37" hidden="1" x14ac:dyDescent="0.55000000000000004">
      <c r="A31" s="1"/>
      <c r="B31" s="1"/>
      <c r="C31" s="1"/>
      <c r="D31" s="6"/>
      <c r="E31" s="6"/>
      <c r="F31" s="1"/>
      <c r="G31" s="5"/>
      <c r="H31" s="5"/>
      <c r="M31" s="6"/>
      <c r="Q31" s="4" t="str">
        <f t="shared" si="0"/>
        <v>83,3</v>
      </c>
      <c r="R31" s="14">
        <v>8</v>
      </c>
      <c r="S31" s="12" t="s">
        <v>211</v>
      </c>
      <c r="T31" s="144">
        <v>39.4</v>
      </c>
      <c r="U31" s="15"/>
      <c r="W31" s="28"/>
      <c r="X31" s="8"/>
      <c r="Y31" s="8"/>
    </row>
    <row r="32" spans="1:37" ht="43.2" hidden="1" x14ac:dyDescent="0.55000000000000004">
      <c r="A32" s="3"/>
      <c r="G32" s="5"/>
      <c r="H32" s="5"/>
      <c r="M32" s="6"/>
      <c r="Q32" s="4" t="str">
        <f t="shared" si="0"/>
        <v>81,1,1,1</v>
      </c>
      <c r="R32" s="14">
        <v>8</v>
      </c>
      <c r="S32" s="12" t="s">
        <v>96</v>
      </c>
      <c r="T32" s="143">
        <v>43.8</v>
      </c>
      <c r="U32" s="15"/>
      <c r="W32" s="28" t="s">
        <v>100</v>
      </c>
      <c r="X32" s="8">
        <f>B4*1.414</f>
        <v>2.121</v>
      </c>
      <c r="Y32" s="8" t="s">
        <v>12</v>
      </c>
    </row>
    <row r="33" spans="1:33" ht="28.8" hidden="1" x14ac:dyDescent="0.55000000000000004">
      <c r="A33" s="3"/>
      <c r="G33" s="5"/>
      <c r="H33" s="5"/>
      <c r="Q33" s="4" t="str">
        <f t="shared" si="0"/>
        <v>82,1,1,2</v>
      </c>
      <c r="R33" s="14">
        <v>8</v>
      </c>
      <c r="S33" s="12" t="s">
        <v>97</v>
      </c>
      <c r="T33" s="143">
        <v>39.9</v>
      </c>
      <c r="U33" s="15"/>
      <c r="W33" s="28" t="s">
        <v>101</v>
      </c>
      <c r="X33" s="8">
        <f>B3/B7</f>
        <v>0.192</v>
      </c>
      <c r="Y33" s="8" t="s">
        <v>21</v>
      </c>
    </row>
    <row r="34" spans="1:33" hidden="1" x14ac:dyDescent="0.55000000000000004">
      <c r="A34" s="3"/>
      <c r="G34" s="5"/>
      <c r="H34" s="5"/>
      <c r="Q34" s="4" t="str">
        <f t="shared" si="0"/>
        <v>83,1,1,3</v>
      </c>
      <c r="R34" s="14">
        <v>8</v>
      </c>
      <c r="S34" s="12" t="s">
        <v>119</v>
      </c>
      <c r="T34" s="143">
        <v>37.799999999999997</v>
      </c>
      <c r="U34" s="15"/>
      <c r="W34" s="28"/>
      <c r="X34" s="8"/>
      <c r="Y34" s="8"/>
    </row>
    <row r="35" spans="1:33" ht="86.4" hidden="1" x14ac:dyDescent="0.55000000000000004">
      <c r="A35" s="3"/>
      <c r="G35" s="5"/>
      <c r="H35" s="5"/>
      <c r="Q35" s="4" t="str">
        <f t="shared" si="0"/>
        <v>161,1</v>
      </c>
      <c r="R35" s="14">
        <v>16</v>
      </c>
      <c r="S35" s="12" t="s">
        <v>92</v>
      </c>
      <c r="T35" s="143">
        <v>41</v>
      </c>
      <c r="U35" s="15"/>
      <c r="W35" s="25" t="s">
        <v>147</v>
      </c>
      <c r="X35" s="3">
        <f>VLOOKUP(B7,K16:L19,2,FALSE)</f>
        <v>0.65</v>
      </c>
      <c r="Y35" s="3" t="s">
        <v>21</v>
      </c>
    </row>
    <row r="36" spans="1:33" ht="28.8" hidden="1" x14ac:dyDescent="0.55000000000000004">
      <c r="A36" s="3"/>
      <c r="G36" s="5"/>
      <c r="H36" s="5"/>
      <c r="Q36" s="4" t="str">
        <f t="shared" si="0"/>
        <v>162,2</v>
      </c>
      <c r="R36" s="14">
        <v>16</v>
      </c>
      <c r="S36" s="12" t="s">
        <v>93</v>
      </c>
      <c r="T36" s="144">
        <v>33.9</v>
      </c>
      <c r="U36" s="16"/>
      <c r="W36" s="135" t="s">
        <v>103</v>
      </c>
      <c r="X36" s="136" t="s">
        <v>6</v>
      </c>
      <c r="Y36" s="136" t="s">
        <v>4</v>
      </c>
    </row>
    <row r="37" spans="1:33" hidden="1" x14ac:dyDescent="0.55000000000000004">
      <c r="A37" s="3"/>
      <c r="G37" s="5"/>
      <c r="H37" s="5"/>
      <c r="Q37" s="4" t="str">
        <f t="shared" si="0"/>
        <v>163,3</v>
      </c>
      <c r="R37" s="14">
        <v>16</v>
      </c>
      <c r="S37" s="12" t="s">
        <v>211</v>
      </c>
      <c r="T37" s="144">
        <v>30.9</v>
      </c>
      <c r="U37" s="16"/>
      <c r="W37" s="135"/>
      <c r="X37" s="136"/>
      <c r="Y37" s="136"/>
    </row>
    <row r="38" spans="1:33" s="10" customFormat="1" ht="43.2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/>
      <c r="O38"/>
      <c r="P38"/>
      <c r="Q38" s="4" t="str">
        <f t="shared" si="0"/>
        <v>161,1,1,1</v>
      </c>
      <c r="R38" s="14">
        <v>16</v>
      </c>
      <c r="S38" s="12" t="s">
        <v>96</v>
      </c>
      <c r="T38" s="143">
        <v>34.6</v>
      </c>
      <c r="U38" s="15"/>
      <c r="V38"/>
      <c r="W38" s="28" t="s">
        <v>104</v>
      </c>
      <c r="X38" s="140">
        <f>B3*X18/1000</f>
        <v>0.26400000000000001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/>
      <c r="P39"/>
      <c r="Q39" s="4" t="str">
        <f t="shared" si="0"/>
        <v>162,1,1,2</v>
      </c>
      <c r="R39" s="14">
        <v>16</v>
      </c>
      <c r="S39" s="12" t="s">
        <v>97</v>
      </c>
      <c r="T39" s="143">
        <v>31.2</v>
      </c>
      <c r="U39" s="15"/>
      <c r="V39"/>
      <c r="W39" s="28"/>
      <c r="X39" s="8"/>
      <c r="Y39" s="8"/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/>
      <c r="P40"/>
      <c r="Q40" s="4" t="str">
        <f t="shared" si="0"/>
        <v>163,1,1,3</v>
      </c>
      <c r="R40" s="14">
        <v>16</v>
      </c>
      <c r="S40" s="12" t="s">
        <v>119</v>
      </c>
      <c r="T40" s="143">
        <v>29.3</v>
      </c>
      <c r="U40" s="15"/>
      <c r="V40"/>
      <c r="W40" s="28"/>
      <c r="X40" s="8"/>
      <c r="Y40" s="8"/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/>
      <c r="P41"/>
      <c r="Q41" s="4" t="str">
        <f t="shared" si="0"/>
        <v>201,1</v>
      </c>
      <c r="R41" s="14">
        <v>20</v>
      </c>
      <c r="S41" s="12" t="s">
        <v>92</v>
      </c>
      <c r="T41" s="143">
        <v>39</v>
      </c>
      <c r="U41" s="15"/>
      <c r="V41"/>
      <c r="W41" s="28"/>
      <c r="X41" s="8"/>
      <c r="Y41" s="8"/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/>
      <c r="O42"/>
      <c r="P42"/>
      <c r="Q42" s="4" t="str">
        <f t="shared" si="0"/>
        <v>202,2</v>
      </c>
      <c r="R42" s="14">
        <v>20</v>
      </c>
      <c r="S42" s="12" t="s">
        <v>93</v>
      </c>
      <c r="T42" s="143">
        <v>31.8</v>
      </c>
      <c r="U42" s="15"/>
      <c r="V42"/>
      <c r="W42" s="28"/>
      <c r="X42" s="8"/>
      <c r="Y42" s="8"/>
      <c r="Z42"/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/>
      <c r="P43"/>
      <c r="Q43" s="4" t="str">
        <f t="shared" si="0"/>
        <v>203,3</v>
      </c>
      <c r="R43" s="14">
        <v>20</v>
      </c>
      <c r="S43" s="12" t="s">
        <v>211</v>
      </c>
      <c r="T43" s="143">
        <v>28.8</v>
      </c>
      <c r="U43" s="15"/>
      <c r="V43"/>
      <c r="W43" s="28"/>
      <c r="X43" s="8"/>
      <c r="Y43" s="8"/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3"/>
      <c r="B44" s="3"/>
      <c r="C44" s="3"/>
      <c r="D44" s="5"/>
      <c r="E44" s="5"/>
      <c r="F44"/>
      <c r="G44" s="5"/>
      <c r="H44" s="5"/>
      <c r="I44"/>
      <c r="J44"/>
      <c r="K44"/>
      <c r="L44"/>
      <c r="M44"/>
      <c r="N44"/>
      <c r="O44"/>
      <c r="P44"/>
      <c r="Q44" s="4" t="str">
        <f t="shared" si="0"/>
        <v>201,1,1,1</v>
      </c>
      <c r="R44" s="14">
        <v>20</v>
      </c>
      <c r="S44" s="12" t="s">
        <v>96</v>
      </c>
      <c r="T44" s="143">
        <v>32.4</v>
      </c>
      <c r="U44" s="15"/>
      <c r="V44"/>
      <c r="W44" s="28"/>
      <c r="X44" s="8"/>
      <c r="Y44" s="8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3"/>
      <c r="B45" s="3"/>
      <c r="C45" s="3"/>
      <c r="D45" s="5"/>
      <c r="E45" s="5"/>
      <c r="F45"/>
      <c r="G45" s="5"/>
      <c r="H45" s="5"/>
      <c r="I45"/>
      <c r="J45"/>
      <c r="K45"/>
      <c r="L45"/>
      <c r="M45"/>
      <c r="N45"/>
      <c r="O45"/>
      <c r="P45"/>
      <c r="Q45" s="4" t="str">
        <f t="shared" si="0"/>
        <v>202,1,1,2</v>
      </c>
      <c r="R45" s="14">
        <v>20</v>
      </c>
      <c r="S45" s="12" t="s">
        <v>97</v>
      </c>
      <c r="T45" s="143">
        <v>29</v>
      </c>
      <c r="U45" s="15"/>
      <c r="V45"/>
      <c r="W45" s="28"/>
      <c r="X45" s="8"/>
      <c r="Y45" s="8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/>
      <c r="G46" s="5"/>
      <c r="H46" s="5"/>
      <c r="I46"/>
      <c r="J46"/>
      <c r="K46"/>
      <c r="L46"/>
      <c r="M46"/>
      <c r="N46"/>
      <c r="O46"/>
      <c r="P46"/>
      <c r="Q46" s="4" t="str">
        <f t="shared" si="0"/>
        <v>203,1,1,3</v>
      </c>
      <c r="R46" s="14">
        <v>20</v>
      </c>
      <c r="S46" s="12" t="s">
        <v>119</v>
      </c>
      <c r="T46" s="143">
        <v>27.1</v>
      </c>
      <c r="U46" s="15"/>
      <c r="V46"/>
      <c r="W46" s="28"/>
      <c r="X46" s="8"/>
      <c r="Y46" s="8"/>
      <c r="Z46"/>
      <c r="AA46"/>
      <c r="AB46"/>
      <c r="AC46"/>
      <c r="AD46"/>
      <c r="AE46"/>
      <c r="AF46"/>
      <c r="AG46"/>
    </row>
    <row r="47" spans="1:33" s="10" customFormat="1" hidden="1" x14ac:dyDescent="0.55000000000000004">
      <c r="A47" s="3"/>
      <c r="B47" s="3"/>
      <c r="C47" s="3"/>
      <c r="D47" s="5"/>
      <c r="E47" s="5"/>
      <c r="F47"/>
      <c r="G47" s="5"/>
      <c r="H47" s="5"/>
      <c r="I47"/>
      <c r="J47"/>
      <c r="K47"/>
      <c r="L47"/>
      <c r="M47"/>
      <c r="N47"/>
      <c r="O47"/>
      <c r="P47"/>
      <c r="Q47" s="4" t="str">
        <f t="shared" si="0"/>
        <v>241,1</v>
      </c>
      <c r="R47" s="14">
        <v>24</v>
      </c>
      <c r="S47" s="12" t="s">
        <v>92</v>
      </c>
      <c r="T47" s="143">
        <v>37.5</v>
      </c>
      <c r="U47" s="15"/>
      <c r="V47"/>
      <c r="W47" s="28"/>
      <c r="X47" s="8"/>
      <c r="Y47" s="8"/>
      <c r="Z47"/>
      <c r="AA47"/>
      <c r="AB47"/>
      <c r="AC47"/>
      <c r="AD47"/>
      <c r="AE47"/>
      <c r="AF47"/>
      <c r="AG47"/>
    </row>
    <row r="48" spans="1:33" s="10" customFormat="1" hidden="1" x14ac:dyDescent="0.55000000000000004">
      <c r="A48" s="3"/>
      <c r="B48" s="3"/>
      <c r="C48" s="3"/>
      <c r="D48" s="5"/>
      <c r="E48" s="5"/>
      <c r="F48"/>
      <c r="G48" s="5"/>
      <c r="H48" s="5"/>
      <c r="I48"/>
      <c r="J48"/>
      <c r="K48"/>
      <c r="L48"/>
      <c r="M48"/>
      <c r="N48"/>
      <c r="O48"/>
      <c r="P48"/>
      <c r="Q48" s="4" t="str">
        <f t="shared" si="0"/>
        <v>242,2</v>
      </c>
      <c r="R48" s="14">
        <v>24</v>
      </c>
      <c r="S48" s="12" t="s">
        <v>93</v>
      </c>
      <c r="T48" s="143">
        <v>30.2</v>
      </c>
      <c r="U48" s="15"/>
      <c r="V48"/>
      <c r="W48" s="28"/>
      <c r="X48" s="8"/>
      <c r="Y48" s="8"/>
      <c r="Z48"/>
      <c r="AA48"/>
      <c r="AB48"/>
      <c r="AC48"/>
      <c r="AD48"/>
      <c r="AE48"/>
      <c r="AF48"/>
      <c r="AG48"/>
    </row>
    <row r="49" spans="1:33" s="10" customFormat="1" hidden="1" x14ac:dyDescent="0.55000000000000004">
      <c r="A49" s="3"/>
      <c r="B49" s="3"/>
      <c r="C49" s="3"/>
      <c r="D49" s="5"/>
      <c r="E49" s="5"/>
      <c r="F49"/>
      <c r="G49" s="5"/>
      <c r="H49" s="5"/>
      <c r="I49"/>
      <c r="J49"/>
      <c r="K49"/>
      <c r="L49"/>
      <c r="M49"/>
      <c r="N49"/>
      <c r="O49"/>
      <c r="P49"/>
      <c r="Q49" s="4" t="str">
        <f t="shared" si="0"/>
        <v>243,3</v>
      </c>
      <c r="R49" s="14">
        <v>24</v>
      </c>
      <c r="S49" s="12" t="s">
        <v>211</v>
      </c>
      <c r="T49" s="143">
        <v>27.1</v>
      </c>
      <c r="U49" s="15"/>
      <c r="V49"/>
      <c r="W49" s="28"/>
      <c r="X49" s="8"/>
      <c r="Y49" s="8"/>
      <c r="Z49"/>
      <c r="AA49"/>
      <c r="AB49"/>
      <c r="AC49"/>
      <c r="AD49"/>
      <c r="AE49"/>
      <c r="AF49"/>
      <c r="AG49"/>
    </row>
    <row r="50" spans="1:33" s="10" customFormat="1" hidden="1" x14ac:dyDescent="0.55000000000000004">
      <c r="A50" s="3"/>
      <c r="B50" s="3"/>
      <c r="C50" s="3"/>
      <c r="D50" s="5"/>
      <c r="E50" s="5"/>
      <c r="F50"/>
      <c r="G50" s="5"/>
      <c r="H50" s="5"/>
      <c r="I50"/>
      <c r="J50"/>
      <c r="K50"/>
      <c r="L50"/>
      <c r="M50"/>
      <c r="N50"/>
      <c r="O50"/>
      <c r="P50"/>
      <c r="Q50" s="4" t="str">
        <f t="shared" si="0"/>
        <v>241,1,1,1</v>
      </c>
      <c r="R50" s="14">
        <v>24</v>
      </c>
      <c r="S50" s="12" t="s">
        <v>96</v>
      </c>
      <c r="T50" s="143">
        <v>30.8</v>
      </c>
      <c r="U50" s="15"/>
      <c r="V50"/>
      <c r="W50" s="28"/>
      <c r="X50" s="8"/>
      <c r="Y50" s="8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3"/>
      <c r="B51" s="3"/>
      <c r="C51" s="3"/>
      <c r="D51" s="5"/>
      <c r="E51" s="5"/>
      <c r="F51"/>
      <c r="G51" s="5"/>
      <c r="H51" s="5"/>
      <c r="I51"/>
      <c r="J51"/>
      <c r="K51"/>
      <c r="L51"/>
      <c r="M51"/>
      <c r="N51"/>
      <c r="O51"/>
      <c r="P51"/>
      <c r="Q51" s="4" t="str">
        <f t="shared" si="0"/>
        <v>242,1,1,2</v>
      </c>
      <c r="R51" s="14">
        <v>24</v>
      </c>
      <c r="S51" s="12" t="s">
        <v>97</v>
      </c>
      <c r="T51" s="143">
        <v>27.3</v>
      </c>
      <c r="U51" s="15"/>
      <c r="V51"/>
      <c r="W51" s="28"/>
      <c r="X51" s="8"/>
      <c r="Y51" s="8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 s="5"/>
      <c r="H52" s="5"/>
      <c r="I52"/>
      <c r="J52"/>
      <c r="K52"/>
      <c r="L52"/>
      <c r="M52"/>
      <c r="N52"/>
      <c r="O52"/>
      <c r="P52"/>
      <c r="Q52" s="4" t="str">
        <f t="shared" si="0"/>
        <v>243,1,1,3</v>
      </c>
      <c r="R52" s="14">
        <v>24</v>
      </c>
      <c r="S52" s="12" t="s">
        <v>119</v>
      </c>
      <c r="T52" s="143">
        <v>25.5</v>
      </c>
      <c r="U52" s="15"/>
      <c r="V52"/>
      <c r="W52" s="28"/>
      <c r="X52" s="8"/>
      <c r="Y52" s="8"/>
      <c r="Z52"/>
      <c r="AA52"/>
      <c r="AB52"/>
      <c r="AC52"/>
      <c r="AD52"/>
      <c r="AE52"/>
      <c r="AF52"/>
      <c r="AG52"/>
    </row>
    <row r="53" spans="1:33" s="10" customFormat="1" ht="28.8" hidden="1" x14ac:dyDescent="0.55000000000000004">
      <c r="A53" s="3"/>
      <c r="B53" s="3"/>
      <c r="C53" s="3"/>
      <c r="D53" s="5"/>
      <c r="E53" s="5"/>
      <c r="F53"/>
      <c r="G53" s="5"/>
      <c r="H53" s="5"/>
      <c r="I53"/>
      <c r="J53"/>
      <c r="K53"/>
      <c r="L53"/>
      <c r="M53"/>
      <c r="N53"/>
      <c r="O53"/>
      <c r="P53"/>
      <c r="Q53" s="4" t="str">
        <f t="shared" si="0"/>
        <v>321,1</v>
      </c>
      <c r="R53" s="14">
        <v>32</v>
      </c>
      <c r="S53" s="12" t="s">
        <v>92</v>
      </c>
      <c r="T53" s="143">
        <v>35.6</v>
      </c>
      <c r="U53" s="15"/>
      <c r="V53"/>
      <c r="W53" s="135" t="s">
        <v>148</v>
      </c>
      <c r="X53" s="136" t="s">
        <v>6</v>
      </c>
      <c r="Y53" s="136" t="s">
        <v>4</v>
      </c>
      <c r="Z53"/>
      <c r="AA53"/>
      <c r="AB53"/>
      <c r="AC53"/>
      <c r="AD53"/>
      <c r="AE53"/>
      <c r="AF53"/>
      <c r="AG53"/>
    </row>
    <row r="54" spans="1:33" s="10" customFormat="1" ht="43.2" hidden="1" x14ac:dyDescent="0.55000000000000004">
      <c r="A54" s="3"/>
      <c r="B54" s="3"/>
      <c r="C54" s="3"/>
      <c r="D54" s="5"/>
      <c r="E54" s="5"/>
      <c r="F54"/>
      <c r="G54" s="5"/>
      <c r="H54" s="5"/>
      <c r="I54"/>
      <c r="J54"/>
      <c r="K54"/>
      <c r="L54"/>
      <c r="M54"/>
      <c r="N54"/>
      <c r="O54"/>
      <c r="P54"/>
      <c r="Q54" s="4" t="str">
        <f t="shared" si="0"/>
        <v>322,2</v>
      </c>
      <c r="R54" s="14">
        <v>32</v>
      </c>
      <c r="S54" s="12" t="s">
        <v>93</v>
      </c>
      <c r="T54" s="144">
        <v>27.9</v>
      </c>
      <c r="U54" s="15"/>
      <c r="V54"/>
      <c r="W54" s="28" t="s">
        <v>106</v>
      </c>
      <c r="X54" s="8">
        <f>ROUND(3*B4*B4*AH16/(1000),3)</f>
        <v>1.3759999999999999</v>
      </c>
      <c r="Y54" s="8" t="s">
        <v>10</v>
      </c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 s="5"/>
      <c r="H55" s="5"/>
      <c r="I55"/>
      <c r="J55"/>
      <c r="K55"/>
      <c r="L55"/>
      <c r="M55"/>
      <c r="N55"/>
      <c r="O55"/>
      <c r="P55"/>
      <c r="Q55" s="4" t="str">
        <f t="shared" si="0"/>
        <v>323,3</v>
      </c>
      <c r="R55" s="14">
        <v>32</v>
      </c>
      <c r="S55" s="12" t="s">
        <v>211</v>
      </c>
      <c r="T55" s="144">
        <v>24.8</v>
      </c>
      <c r="U55" s="15"/>
      <c r="V55"/>
      <c r="W55" s="28"/>
      <c r="X55" s="8"/>
      <c r="Y55" s="8"/>
      <c r="Z55"/>
      <c r="AA55"/>
      <c r="AB55"/>
      <c r="AC55"/>
      <c r="AD55"/>
      <c r="AE55"/>
      <c r="AF55"/>
      <c r="AG55"/>
    </row>
    <row r="56" spans="1:33" s="10" customFormat="1" ht="43.2" hidden="1" x14ac:dyDescent="0.55000000000000004">
      <c r="A56" s="3"/>
      <c r="B56" s="3"/>
      <c r="C56" s="3"/>
      <c r="D56" s="5"/>
      <c r="E56" s="5"/>
      <c r="F56"/>
      <c r="G56" s="5"/>
      <c r="H56" s="5"/>
      <c r="I56"/>
      <c r="J56"/>
      <c r="K56"/>
      <c r="L56"/>
      <c r="M56"/>
      <c r="N56"/>
      <c r="O56"/>
      <c r="P56"/>
      <c r="Q56" s="4" t="str">
        <f t="shared" si="0"/>
        <v>321,1,1,1</v>
      </c>
      <c r="R56" s="14">
        <v>32</v>
      </c>
      <c r="S56" s="12" t="s">
        <v>96</v>
      </c>
      <c r="T56" s="143">
        <v>28.5</v>
      </c>
      <c r="U56" s="15"/>
      <c r="V56"/>
      <c r="W56" s="28" t="s">
        <v>108</v>
      </c>
      <c r="X56" s="140">
        <f>ROUND(3*B3*B4*X33*B6/(1000),3)*IF(B5="Discontinuous",2/3,1)</f>
        <v>0.51800000000000002</v>
      </c>
      <c r="Y56" s="8" t="s">
        <v>10</v>
      </c>
      <c r="Z56"/>
      <c r="AA56"/>
      <c r="AB56"/>
      <c r="AC56"/>
      <c r="AD56"/>
      <c r="AE56"/>
      <c r="AF56"/>
      <c r="AG56"/>
    </row>
    <row r="57" spans="1:33" s="10" customFormat="1" ht="28.8" hidden="1" x14ac:dyDescent="0.55000000000000004">
      <c r="A57" s="3"/>
      <c r="B57" s="3"/>
      <c r="C57" s="3"/>
      <c r="D57" s="5"/>
      <c r="E57" s="5"/>
      <c r="F57"/>
      <c r="G57" s="5"/>
      <c r="H57" s="5"/>
      <c r="I57"/>
      <c r="J57"/>
      <c r="K57"/>
      <c r="L57"/>
      <c r="M57"/>
      <c r="N57"/>
      <c r="O57"/>
      <c r="P57"/>
      <c r="Q57" s="4" t="str">
        <f t="shared" si="0"/>
        <v>322,1,1,2</v>
      </c>
      <c r="R57" s="14">
        <v>32</v>
      </c>
      <c r="S57" s="12" t="s">
        <v>97</v>
      </c>
      <c r="T57" s="143">
        <v>25</v>
      </c>
      <c r="U57" s="15"/>
      <c r="V57"/>
      <c r="W57" s="28" t="s">
        <v>110</v>
      </c>
      <c r="X57" s="140">
        <f>X22*5*B6*0.000000001*1000</f>
        <v>1.5625E-4</v>
      </c>
      <c r="Y57" s="8" t="s">
        <v>10</v>
      </c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 s="5"/>
      <c r="H58" s="5"/>
      <c r="I58"/>
      <c r="J58"/>
      <c r="K58"/>
      <c r="L58"/>
      <c r="M58"/>
      <c r="N58"/>
      <c r="O58"/>
      <c r="P58"/>
      <c r="Q58" s="4" t="str">
        <f t="shared" si="0"/>
        <v>323,1,1,3</v>
      </c>
      <c r="R58" s="14">
        <v>32</v>
      </c>
      <c r="S58" s="12" t="s">
        <v>119</v>
      </c>
      <c r="T58" s="143">
        <v>23</v>
      </c>
      <c r="U58" s="15"/>
      <c r="V58"/>
      <c r="W58" s="28"/>
      <c r="X58" s="140"/>
      <c r="Y58" s="8"/>
      <c r="Z58"/>
      <c r="AA58"/>
      <c r="AB58"/>
      <c r="AC58"/>
      <c r="AD58"/>
      <c r="AE58"/>
      <c r="AF58"/>
      <c r="AG58"/>
    </row>
    <row r="59" spans="1:33" s="10" customFormat="1" hidden="1" x14ac:dyDescent="0.55000000000000004">
      <c r="A59" s="3"/>
      <c r="B59" s="3"/>
      <c r="C59" s="3"/>
      <c r="D59" s="5"/>
      <c r="E59" s="5"/>
      <c r="F59"/>
      <c r="G59" s="5"/>
      <c r="H59" s="5"/>
      <c r="I59"/>
      <c r="J59"/>
      <c r="K59"/>
      <c r="L59"/>
      <c r="M59"/>
      <c r="N59"/>
      <c r="O59"/>
      <c r="P59"/>
      <c r="Q59" s="4" t="str">
        <f t="shared" si="0"/>
        <v>481,1</v>
      </c>
      <c r="R59" s="14">
        <v>48</v>
      </c>
      <c r="S59" s="12" t="s">
        <v>92</v>
      </c>
      <c r="T59" s="143">
        <v>33.299999999999997</v>
      </c>
      <c r="U59" s="15"/>
      <c r="V59"/>
      <c r="W59" s="28"/>
      <c r="X59" s="140"/>
      <c r="Y59" s="8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 s="5"/>
      <c r="H60" s="5"/>
      <c r="I60"/>
      <c r="J60"/>
      <c r="K60"/>
      <c r="L60"/>
      <c r="M60"/>
      <c r="N60"/>
      <c r="O60"/>
      <c r="P60"/>
      <c r="Q60" s="4" t="str">
        <f t="shared" si="0"/>
        <v>482,2</v>
      </c>
      <c r="R60" s="14">
        <v>48</v>
      </c>
      <c r="S60" s="12" t="s">
        <v>93</v>
      </c>
      <c r="T60" s="143">
        <v>25.2</v>
      </c>
      <c r="U60" s="15"/>
      <c r="V60"/>
      <c r="W60" s="28"/>
      <c r="X60" s="140"/>
      <c r="Y60" s="8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 s="5"/>
      <c r="H61" s="5"/>
      <c r="I61"/>
      <c r="J61"/>
      <c r="K61"/>
      <c r="L61"/>
      <c r="M61"/>
      <c r="N61"/>
      <c r="O61"/>
      <c r="P61"/>
      <c r="Q61" s="4" t="str">
        <f t="shared" si="0"/>
        <v>483,3</v>
      </c>
      <c r="R61" s="14">
        <v>48</v>
      </c>
      <c r="S61" s="12" t="s">
        <v>211</v>
      </c>
      <c r="T61" s="143">
        <v>21.9</v>
      </c>
      <c r="U61" s="15"/>
      <c r="V61"/>
      <c r="W61" s="28"/>
      <c r="X61" s="140"/>
      <c r="Y61" s="8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 s="5"/>
      <c r="H62" s="5"/>
      <c r="I62"/>
      <c r="J62"/>
      <c r="K62"/>
      <c r="L62"/>
      <c r="M62"/>
      <c r="N62"/>
      <c r="O62"/>
      <c r="P62"/>
      <c r="Q62" s="4" t="str">
        <f t="shared" si="0"/>
        <v>481,1,1,1</v>
      </c>
      <c r="R62" s="14">
        <v>48</v>
      </c>
      <c r="S62" s="12" t="s">
        <v>96</v>
      </c>
      <c r="T62" s="143">
        <v>25.8</v>
      </c>
      <c r="U62" s="15"/>
      <c r="V62"/>
      <c r="W62" s="28"/>
      <c r="X62" s="140"/>
      <c r="Y62" s="8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 s="5"/>
      <c r="H63" s="5"/>
      <c r="I63"/>
      <c r="J63"/>
      <c r="K63"/>
      <c r="L63"/>
      <c r="M63"/>
      <c r="N63"/>
      <c r="O63"/>
      <c r="P63"/>
      <c r="Q63" s="4" t="str">
        <f t="shared" si="0"/>
        <v>482,1,1,2</v>
      </c>
      <c r="R63" s="14">
        <v>48</v>
      </c>
      <c r="S63" s="12" t="s">
        <v>97</v>
      </c>
      <c r="T63" s="143">
        <v>22.1</v>
      </c>
      <c r="U63" s="15"/>
      <c r="V63"/>
      <c r="W63" s="28"/>
      <c r="X63" s="140"/>
      <c r="Y63" s="8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 s="5"/>
      <c r="H64" s="5"/>
      <c r="I64"/>
      <c r="J64"/>
      <c r="K64"/>
      <c r="L64"/>
      <c r="M64"/>
      <c r="N64"/>
      <c r="O64"/>
      <c r="P64"/>
      <c r="Q64" s="4" t="str">
        <f t="shared" si="0"/>
        <v>483,1,1,3</v>
      </c>
      <c r="R64" s="14">
        <v>48</v>
      </c>
      <c r="S64" s="12" t="s">
        <v>119</v>
      </c>
      <c r="T64" s="143">
        <v>20.100000000000001</v>
      </c>
      <c r="U64" s="15"/>
      <c r="V64"/>
      <c r="W64" s="28"/>
      <c r="X64" s="140"/>
      <c r="Y64" s="8"/>
      <c r="Z64"/>
      <c r="AA64"/>
      <c r="AB64"/>
      <c r="AC64"/>
      <c r="AD64"/>
      <c r="AE64"/>
      <c r="AF64"/>
      <c r="AG64"/>
    </row>
    <row r="65" spans="1:33" s="10" customFormat="1" ht="43.2" hidden="1" x14ac:dyDescent="0.55000000000000004">
      <c r="A65" s="3"/>
      <c r="B65" s="3"/>
      <c r="C65" s="3"/>
      <c r="D65" s="5"/>
      <c r="E65" s="5"/>
      <c r="F65"/>
      <c r="G65" s="5"/>
      <c r="H65" s="5"/>
      <c r="I65"/>
      <c r="J65"/>
      <c r="K65"/>
      <c r="L65"/>
      <c r="M65"/>
      <c r="N65"/>
      <c r="O65"/>
      <c r="P65"/>
      <c r="Q65" s="4" t="str">
        <f t="shared" si="0"/>
        <v>641,1</v>
      </c>
      <c r="R65" s="14">
        <v>64</v>
      </c>
      <c r="S65" s="12" t="s">
        <v>92</v>
      </c>
      <c r="T65" s="143">
        <v>32.200000000000003</v>
      </c>
      <c r="U65" s="15"/>
      <c r="V65"/>
      <c r="W65" s="28" t="s">
        <v>149</v>
      </c>
      <c r="X65" s="8">
        <f>X54+X56+X57</f>
        <v>1.89415625</v>
      </c>
      <c r="Y65" s="8" t="s">
        <v>10</v>
      </c>
      <c r="Z65"/>
      <c r="AA65"/>
      <c r="AB65"/>
      <c r="AC65"/>
      <c r="AD65"/>
      <c r="AE65"/>
      <c r="AF65"/>
      <c r="AG65"/>
    </row>
    <row r="66" spans="1:33" s="10" customFormat="1" hidden="1" x14ac:dyDescent="0.55000000000000004">
      <c r="A66" s="3"/>
      <c r="B66" s="3"/>
      <c r="C66" s="3"/>
      <c r="D66" s="5"/>
      <c r="E66" s="5"/>
      <c r="F66"/>
      <c r="G66" s="5"/>
      <c r="H66" s="5"/>
      <c r="I66"/>
      <c r="J66"/>
      <c r="K66"/>
      <c r="L66"/>
      <c r="M66"/>
      <c r="N66"/>
      <c r="O66"/>
      <c r="P66"/>
      <c r="Q66" s="4" t="str">
        <f t="shared" si="0"/>
        <v>642,2</v>
      </c>
      <c r="R66" s="14">
        <v>64</v>
      </c>
      <c r="S66" s="12" t="s">
        <v>93</v>
      </c>
      <c r="T66" s="144">
        <v>23.8</v>
      </c>
      <c r="U66" s="15"/>
      <c r="V66"/>
      <c r="W66" s="11" t="s">
        <v>113</v>
      </c>
      <c r="X66" s="139">
        <f>3*2*B4*X35*B6*0.7/1000</f>
        <v>0.10237499999999999</v>
      </c>
      <c r="Y66" s="8" t="s">
        <v>10</v>
      </c>
      <c r="Z66"/>
      <c r="AA66"/>
      <c r="AB66"/>
      <c r="AC66"/>
      <c r="AD66"/>
      <c r="AE66"/>
      <c r="AF66"/>
      <c r="AG66"/>
    </row>
    <row r="67" spans="1:33" s="10" customFormat="1" hidden="1" x14ac:dyDescent="0.55000000000000004">
      <c r="A67" s="3"/>
      <c r="B67" s="3"/>
      <c r="C67" s="3"/>
      <c r="D67" s="5"/>
      <c r="E67" s="5"/>
      <c r="F67"/>
      <c r="G67" s="5"/>
      <c r="H67" s="5"/>
      <c r="I67"/>
      <c r="J67"/>
      <c r="K67"/>
      <c r="L67"/>
      <c r="M67"/>
      <c r="N67"/>
      <c r="O67"/>
      <c r="P67"/>
      <c r="Q67" s="4" t="str">
        <f t="shared" si="0"/>
        <v>643,3</v>
      </c>
      <c r="R67" s="14">
        <v>64</v>
      </c>
      <c r="S67" s="12" t="s">
        <v>211</v>
      </c>
      <c r="T67" s="144">
        <v>20.5</v>
      </c>
      <c r="U67" s="15"/>
      <c r="V67"/>
      <c r="W67" s="11"/>
      <c r="X67" s="139"/>
      <c r="Y67" s="8"/>
      <c r="Z67"/>
      <c r="AA67"/>
      <c r="AB67"/>
      <c r="AC67"/>
      <c r="AD67"/>
      <c r="AE67"/>
      <c r="AF67"/>
      <c r="AG67"/>
    </row>
    <row r="68" spans="1:33" s="10" customFormat="1" ht="43.2" hidden="1" x14ac:dyDescent="0.55000000000000004">
      <c r="A68" s="3"/>
      <c r="B68" s="3"/>
      <c r="C68" s="3"/>
      <c r="D68" s="5"/>
      <c r="E68" s="5"/>
      <c r="F68"/>
      <c r="G68" s="5"/>
      <c r="H68" s="5"/>
      <c r="I68"/>
      <c r="J68"/>
      <c r="K68"/>
      <c r="L68"/>
      <c r="M68"/>
      <c r="N68"/>
      <c r="O68"/>
      <c r="P68"/>
      <c r="Q68" s="4" t="str">
        <f t="shared" si="0"/>
        <v>641,1,1,1</v>
      </c>
      <c r="R68" s="14">
        <v>64</v>
      </c>
      <c r="S68" s="12" t="s">
        <v>96</v>
      </c>
      <c r="T68" s="143">
        <v>24.4</v>
      </c>
      <c r="U68" s="15"/>
      <c r="V68"/>
      <c r="W68" s="28" t="s">
        <v>115</v>
      </c>
      <c r="X68" s="139">
        <f>(B3-3.3)*B8*0.001</f>
        <v>0.10350000000000001</v>
      </c>
      <c r="Y68" s="8" t="s">
        <v>10</v>
      </c>
      <c r="Z68"/>
      <c r="AA68"/>
      <c r="AB68"/>
      <c r="AC68"/>
      <c r="AD68"/>
      <c r="AE68"/>
      <c r="AF68"/>
      <c r="AG68"/>
    </row>
    <row r="69" spans="1:33" s="10" customFormat="1" hidden="1" x14ac:dyDescent="0.55000000000000004">
      <c r="A69" s="3"/>
      <c r="B69" s="3"/>
      <c r="C69" s="3"/>
      <c r="D69" s="5"/>
      <c r="E69" s="5"/>
      <c r="F69"/>
      <c r="G69" s="5"/>
      <c r="H69" s="5"/>
      <c r="I69"/>
      <c r="J69"/>
      <c r="K69"/>
      <c r="L69"/>
      <c r="M69"/>
      <c r="N69"/>
      <c r="O69"/>
      <c r="P69"/>
      <c r="Q69" s="4" t="str">
        <f t="shared" si="0"/>
        <v>642,1,1,2</v>
      </c>
      <c r="R69" s="36">
        <v>64</v>
      </c>
      <c r="S69" s="37" t="s">
        <v>97</v>
      </c>
      <c r="T69" s="145">
        <v>20.6</v>
      </c>
      <c r="U69" s="38"/>
      <c r="V69"/>
      <c r="W69" s="11" t="s">
        <v>117</v>
      </c>
      <c r="X69" s="139">
        <v>6.25E-2</v>
      </c>
      <c r="Y69" s="5" t="s">
        <v>10</v>
      </c>
      <c r="Z69" s="8" t="s">
        <v>118</v>
      </c>
      <c r="AA69"/>
      <c r="AB69"/>
      <c r="AC69"/>
      <c r="AD69"/>
      <c r="AE69"/>
      <c r="AF69"/>
      <c r="AG69"/>
    </row>
    <row r="70" spans="1:33" s="10" customFormat="1" ht="43.2" hidden="1" x14ac:dyDescent="0.55000000000000004">
      <c r="A70" s="3"/>
      <c r="B70" s="3"/>
      <c r="C70" s="3"/>
      <c r="D70" s="5"/>
      <c r="E70" s="5"/>
      <c r="F70"/>
      <c r="G70" s="5"/>
      <c r="H70" s="5"/>
      <c r="I70"/>
      <c r="J70"/>
      <c r="K70"/>
      <c r="L70"/>
      <c r="M70"/>
      <c r="N70"/>
      <c r="O70"/>
      <c r="P70"/>
      <c r="Q70" s="40" t="str">
        <f t="shared" si="0"/>
        <v>643,1,1,3</v>
      </c>
      <c r="R70" s="39">
        <v>64</v>
      </c>
      <c r="S70" s="12" t="s">
        <v>119</v>
      </c>
      <c r="T70" s="143">
        <v>18.600000000000001</v>
      </c>
      <c r="U70" s="41"/>
      <c r="V70"/>
      <c r="W70" s="28" t="s">
        <v>150</v>
      </c>
      <c r="X70" s="8">
        <f>ROUND((3*X29*B4)-E3,2)</f>
        <v>51.17</v>
      </c>
      <c r="Y70" s="8" t="s">
        <v>10</v>
      </c>
      <c r="Z70"/>
      <c r="AA70"/>
      <c r="AB70"/>
      <c r="AC70"/>
      <c r="AD70"/>
      <c r="AE70"/>
      <c r="AF70"/>
      <c r="AG70"/>
    </row>
    <row r="71" spans="1:33" s="10" customFormat="1" hidden="1" x14ac:dyDescent="0.55000000000000004">
      <c r="A71" s="24"/>
      <c r="B71" s="24"/>
      <c r="C71" s="24"/>
      <c r="D71" s="5"/>
      <c r="E71" s="5"/>
      <c r="F71" s="5"/>
      <c r="G71"/>
      <c r="H71"/>
      <c r="I71"/>
      <c r="J71"/>
      <c r="K71"/>
      <c r="L71"/>
      <c r="M71"/>
      <c r="N71"/>
      <c r="O71"/>
      <c r="P71"/>
      <c r="Q71" s="40"/>
      <c r="R71" s="39"/>
      <c r="S71" s="12"/>
      <c r="T71" s="143"/>
      <c r="U71" s="4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 hidden="1" x14ac:dyDescent="0.55000000000000004">
      <c r="A72" s="25"/>
      <c r="B72" s="3"/>
      <c r="C72" s="3"/>
      <c r="D72" s="5"/>
      <c r="E72" s="3"/>
      <c r="F72" s="3"/>
      <c r="G72" s="5"/>
      <c r="H72"/>
      <c r="I72"/>
      <c r="J72"/>
      <c r="K72"/>
      <c r="L72"/>
      <c r="M72"/>
      <c r="N72"/>
      <c r="O72"/>
      <c r="P72"/>
      <c r="Q72" s="40"/>
      <c r="R72" s="39"/>
      <c r="S72" s="12"/>
      <c r="T72" s="143"/>
      <c r="U72" s="41"/>
      <c r="V72"/>
      <c r="W72"/>
      <c r="X72"/>
      <c r="Y72"/>
      <c r="Z72"/>
      <c r="AA72"/>
      <c r="AB72"/>
      <c r="AC72"/>
      <c r="AD72"/>
      <c r="AE72"/>
      <c r="AF72"/>
      <c r="AG72"/>
    </row>
    <row r="73" spans="1:33" s="10" customFormat="1" hidden="1" x14ac:dyDescent="0.55000000000000004">
      <c r="A73" s="3"/>
      <c r="B73" s="3"/>
      <c r="C73" s="3"/>
      <c r="D73" s="5"/>
      <c r="E73" s="5"/>
      <c r="F73" s="5"/>
      <c r="G73"/>
      <c r="H73"/>
      <c r="I73"/>
      <c r="J73"/>
      <c r="K73"/>
      <c r="L73"/>
      <c r="M73"/>
      <c r="N73"/>
      <c r="O73"/>
      <c r="P73"/>
      <c r="Q73" s="40"/>
      <c r="R73" s="39"/>
      <c r="S73" s="12"/>
      <c r="T73" s="143"/>
      <c r="U73" s="41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10" customFormat="1" ht="14.7" hidden="1" thickBot="1" x14ac:dyDescent="0.6">
      <c r="A74" s="23"/>
      <c r="B74" s="3"/>
      <c r="C74" s="3"/>
      <c r="D74" s="5"/>
      <c r="E74" s="5"/>
      <c r="F74"/>
      <c r="G74"/>
      <c r="H74"/>
      <c r="I74"/>
      <c r="J74"/>
      <c r="K74"/>
      <c r="L74"/>
      <c r="M74"/>
      <c r="N74"/>
      <c r="O74"/>
      <c r="P74"/>
      <c r="Q74" s="40"/>
      <c r="R74" s="132"/>
      <c r="S74" s="133"/>
      <c r="T74" s="146"/>
      <c r="U74" s="42"/>
      <c r="V74"/>
      <c r="W74"/>
      <c r="X74"/>
      <c r="Y74"/>
      <c r="Z74"/>
      <c r="AA74"/>
      <c r="AB74"/>
      <c r="AC74"/>
      <c r="AD74"/>
      <c r="AE74"/>
      <c r="AF74"/>
      <c r="AG74"/>
    </row>
    <row r="75" spans="1:33" s="4" customFormat="1" hidden="1" x14ac:dyDescent="0.55000000000000004">
      <c r="A75" s="24"/>
      <c r="B75" s="24"/>
      <c r="C75" s="24"/>
      <c r="D75" s="5"/>
      <c r="E75" s="5"/>
      <c r="F75"/>
    </row>
    <row r="76" spans="1:33" s="4" customFormat="1" hidden="1" x14ac:dyDescent="0.55000000000000004">
      <c r="A76" s="25"/>
      <c r="D76" s="7"/>
      <c r="E76" s="7"/>
    </row>
    <row r="77" spans="1:33" s="10" customFormat="1" hidden="1" x14ac:dyDescent="0.55000000000000004">
      <c r="A77" s="24"/>
      <c r="B77" s="24"/>
      <c r="C77" s="24"/>
      <c r="D77" s="7"/>
      <c r="E77" s="7"/>
      <c r="F77" s="4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10" customFormat="1" hidden="1" x14ac:dyDescent="0.55000000000000004">
      <c r="A78" s="24"/>
      <c r="B78" s="3"/>
      <c r="C78" s="3"/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s="10" customFormat="1" hidden="1" x14ac:dyDescent="0.55000000000000004">
      <c r="A79" s="3"/>
      <c r="B79" s="3"/>
      <c r="C79" s="3"/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s="10" customFormat="1" hidden="1" x14ac:dyDescent="0.55000000000000004">
      <c r="A80" s="3"/>
      <c r="B80" s="3"/>
      <c r="C80" s="3"/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7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7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7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7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7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7" s="10" customFormat="1" ht="43.5" hidden="1" customHeight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7" s="10" customFormat="1" hidden="1" x14ac:dyDescent="0.55000000000000004">
      <c r="A87" s="3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7" s="10" customFormat="1" hidden="1" x14ac:dyDescent="0.55000000000000004">
      <c r="A88" s="3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7" s="10" customFormat="1" hidden="1" x14ac:dyDescent="0.55000000000000004">
      <c r="A89" s="3"/>
      <c r="B89" s="3"/>
      <c r="C89" s="3"/>
      <c r="D89" s="5"/>
      <c r="E89" s="5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7" s="10" customFormat="1" hidden="1" x14ac:dyDescent="0.55000000000000004">
      <c r="A90" s="3"/>
      <c r="B90" s="3"/>
      <c r="C90" s="3"/>
      <c r="D90" s="5"/>
      <c r="E90" s="5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7" s="10" customFormat="1" hidden="1" x14ac:dyDescent="0.55000000000000004">
      <c r="A91" s="3"/>
      <c r="B91" s="3"/>
      <c r="C91" s="3"/>
      <c r="D91" s="5"/>
      <c r="E91" s="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7" s="3" customFormat="1" hidden="1" x14ac:dyDescent="0.55000000000000004">
      <c r="D92" s="5"/>
      <c r="E92" s="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 s="10"/>
      <c r="AI92" s="10"/>
      <c r="AJ92" s="10"/>
      <c r="AK92" s="10"/>
    </row>
    <row r="93" spans="1:37" s="3" customFormat="1" hidden="1" x14ac:dyDescent="0.55000000000000004">
      <c r="D93" s="5"/>
      <c r="E93" s="5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 s="10"/>
      <c r="AI93" s="10"/>
      <c r="AJ93" s="10"/>
      <c r="AK93" s="10"/>
    </row>
    <row r="94" spans="1:37" s="3" customFormat="1" hidden="1" x14ac:dyDescent="0.55000000000000004">
      <c r="D94" s="5"/>
      <c r="E94" s="5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 s="10"/>
      <c r="AI94" s="10"/>
      <c r="AJ94" s="10"/>
      <c r="AK94" s="10"/>
    </row>
    <row r="95" spans="1:37" s="3" customFormat="1" hidden="1" x14ac:dyDescent="0.55000000000000004">
      <c r="D95" s="5"/>
      <c r="E95" s="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 s="10"/>
      <c r="AI95" s="10"/>
      <c r="AJ95" s="10"/>
      <c r="AK95" s="10"/>
    </row>
    <row r="96" spans="1:37" s="3" customFormat="1" hidden="1" x14ac:dyDescent="0.55000000000000004">
      <c r="D96" s="5"/>
      <c r="E96" s="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 s="10"/>
      <c r="AI96" s="10"/>
      <c r="AJ96" s="10"/>
      <c r="AK96" s="10"/>
    </row>
    <row r="97" spans="1:37" s="3" customFormat="1" hidden="1" x14ac:dyDescent="0.55000000000000004">
      <c r="D97" s="5"/>
      <c r="E97" s="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 s="10"/>
      <c r="AI97" s="10"/>
      <c r="AJ97" s="10"/>
      <c r="AK97" s="10"/>
    </row>
    <row r="98" spans="1:37" s="3" customFormat="1" hidden="1" x14ac:dyDescent="0.55000000000000004">
      <c r="D98" s="5"/>
      <c r="E98" s="5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 s="10"/>
      <c r="AI98" s="10"/>
      <c r="AJ98" s="10"/>
      <c r="AK98" s="10"/>
    </row>
    <row r="99" spans="1:37" s="3" customFormat="1" hidden="1" x14ac:dyDescent="0.55000000000000004">
      <c r="D99" s="5"/>
      <c r="E99" s="5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 s="10"/>
      <c r="AI99" s="10"/>
      <c r="AJ99" s="10"/>
      <c r="AK99" s="10"/>
    </row>
    <row r="100" spans="1:37" s="3" customFormat="1" hidden="1" x14ac:dyDescent="0.55000000000000004">
      <c r="D100" s="5"/>
      <c r="E100" s="5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 s="10"/>
      <c r="AI100" s="10"/>
      <c r="AJ100" s="10"/>
      <c r="AK100" s="10"/>
    </row>
    <row r="101" spans="1:37" s="3" customFormat="1" hidden="1" x14ac:dyDescent="0.55000000000000004">
      <c r="D101" s="5"/>
      <c r="E101" s="5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 s="10"/>
      <c r="AI101" s="10"/>
      <c r="AJ101" s="10"/>
      <c r="AK101" s="10"/>
    </row>
    <row r="102" spans="1:37" s="3" customFormat="1" hidden="1" x14ac:dyDescent="0.55000000000000004">
      <c r="D102" s="5"/>
      <c r="E102" s="5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 s="10"/>
      <c r="AI102" s="10"/>
      <c r="AJ102" s="10"/>
      <c r="AK102" s="10"/>
    </row>
    <row r="103" spans="1:37" s="3" customFormat="1" hidden="1" x14ac:dyDescent="0.55000000000000004">
      <c r="D103" s="5"/>
      <c r="E103" s="5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 s="10"/>
      <c r="AI103" s="10"/>
      <c r="AJ103" s="10"/>
      <c r="AK103" s="10"/>
    </row>
    <row r="104" spans="1:37" s="3" customFormat="1" hidden="1" x14ac:dyDescent="0.55000000000000004">
      <c r="D104" s="5"/>
      <c r="E104" s="5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 s="10"/>
      <c r="AI104" s="10"/>
      <c r="AJ104" s="10"/>
      <c r="AK104" s="10"/>
    </row>
    <row r="105" spans="1:37" s="3" customFormat="1" hidden="1" x14ac:dyDescent="0.55000000000000004">
      <c r="D105" s="5"/>
      <c r="E105" s="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 s="10"/>
      <c r="AI105" s="10"/>
      <c r="AJ105" s="10"/>
      <c r="AK105" s="10"/>
    </row>
    <row r="106" spans="1:37" s="3" customFormat="1" hidden="1" x14ac:dyDescent="0.55000000000000004">
      <c r="D106" s="5"/>
      <c r="E106" s="5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 s="10"/>
      <c r="AI106" s="10"/>
      <c r="AJ106" s="10"/>
      <c r="AK106" s="10"/>
    </row>
    <row r="107" spans="1:37" s="3" customFormat="1" hidden="1" x14ac:dyDescent="0.55000000000000004">
      <c r="D107" s="5"/>
      <c r="E107" s="5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 s="10"/>
      <c r="AI107" s="10"/>
      <c r="AJ107" s="10"/>
      <c r="AK107" s="10"/>
    </row>
    <row r="108" spans="1:37" s="10" customFormat="1" hidden="1" x14ac:dyDescent="0.55000000000000004">
      <c r="A108" s="3"/>
      <c r="B108" s="3"/>
      <c r="C108" s="3"/>
      <c r="D108" s="5"/>
      <c r="E108" s="5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7" s="10" customFormat="1" hidden="1" x14ac:dyDescent="0.55000000000000004">
      <c r="A109" s="3"/>
      <c r="B109" s="3"/>
      <c r="C109" s="3"/>
      <c r="D109" s="5"/>
      <c r="E109" s="5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7" s="10" customFormat="1" hidden="1" x14ac:dyDescent="0.55000000000000004">
      <c r="A110" s="3"/>
      <c r="B110" s="3"/>
      <c r="C110" s="3"/>
      <c r="D110" s="5"/>
      <c r="E110" s="5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7" s="10" customFormat="1" hidden="1" x14ac:dyDescent="0.55000000000000004">
      <c r="A111" s="3"/>
      <c r="B111" s="3"/>
      <c r="C111" s="3"/>
      <c r="D111" s="5"/>
      <c r="E111" s="5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7" s="10" customFormat="1" hidden="1" x14ac:dyDescent="0.55000000000000004">
      <c r="A112" s="3"/>
      <c r="B112" s="3"/>
      <c r="C112" s="3"/>
      <c r="D112" s="5"/>
      <c r="E112" s="5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5"/>
    </row>
    <row r="113" spans="1:33" s="10" customFormat="1" hidden="1" x14ac:dyDescent="0.55000000000000004">
      <c r="A113" s="2"/>
      <c r="B113" s="3"/>
      <c r="C113" s="3"/>
      <c r="D113" s="5"/>
      <c r="E113" s="5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5"/>
    </row>
    <row r="114" spans="1:33" s="10" customFormat="1" hidden="1" x14ac:dyDescent="0.55000000000000004">
      <c r="A114" s="2"/>
      <c r="B114" s="3"/>
      <c r="C114" s="3"/>
      <c r="D114" s="5"/>
      <c r="E114" s="5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5"/>
    </row>
  </sheetData>
  <sheetProtection algorithmName="SHA-512" hashValue="85nEMndxPkHy8KpjwsrRGlR6NJGAJAa5EukxSyRA9QInki7/xuz3SzmAjUNPX6HpFgJXHBFQkdQwwKTnWvz9yw==" saltValue="+uNmCwe1pKX4rCAQ0MXe3w==" spinCount="100000" sheet="1" selectLockedCells="1"/>
  <mergeCells count="8">
    <mergeCell ref="AC15:AD15"/>
    <mergeCell ref="AE15:AF15"/>
    <mergeCell ref="AG15:AH15"/>
    <mergeCell ref="R18:T18"/>
    <mergeCell ref="R21:U21"/>
    <mergeCell ref="B1:F1"/>
    <mergeCell ref="A14:C14"/>
    <mergeCell ref="R15:U15"/>
  </mergeCells>
  <dataValidations count="14">
    <dataValidation type="decimal" allowBlank="1" showInputMessage="1" showErrorMessage="1" error="AVDD output current out of range" prompt="Enter the AVDD output load current between 0 to 20 mA" sqref="B8" xr:uid="{55B0F911-12B7-4918-A0D5-3D114CE0221D}">
      <formula1>0</formula1>
      <formula2>20</formula2>
    </dataValidation>
    <dataValidation type="list" allowBlank="1" showInputMessage="1" showErrorMessage="1" prompt="Select copper thickness of top/bottom layers (oz)" sqref="B13" xr:uid="{59DD8A70-EF5B-4720-936C-4E6EEEECA28F}">
      <formula1>$J$16:$J$20</formula1>
    </dataValidation>
    <dataValidation type="list" allowBlank="1" showInputMessage="1" showErrorMessage="1" prompt="Select copper thickness of top/bottom layers (oz)" sqref="B12" xr:uid="{B0888C36-85DE-48CB-9E30-6480D64D11C8}">
      <formula1>$H$16:$H$18</formula1>
    </dataValidation>
    <dataValidation type="list" allowBlank="1" showInputMessage="1" showErrorMessage="1" prompt="Select PWM modulation type" sqref="B5" xr:uid="{DA0E32E2-90F8-44FC-AC9D-767B23B37165}">
      <formula1>$N$16:$N$17</formula1>
    </dataValidation>
    <dataValidation type="list" allowBlank="1" showInputMessage="1" showErrorMessage="1" error="This PWM frequency is outside of the operating range of the DRV8316" prompt="Select a PWM frequency between 10kHz and 75kHz" sqref="B6" xr:uid="{2DB84335-CBB2-418D-BAB3-FC42338C4AC6}">
      <formula1>$M$16:$M$32</formula1>
    </dataValidation>
    <dataValidation type="list" allowBlank="1" showInputMessage="1" showErrorMessage="1" prompt="Select # of PCB Layers" sqref="B11" xr:uid="{E7E60993-FE73-49CA-A6A6-C9F752483D6A}">
      <formula1>$G$16:$G$17</formula1>
    </dataValidation>
    <dataValidation type="list" allowBlank="1" showInputMessage="1" showErrorMessage="1" prompt="Select PCB area (cm2)" sqref="B13" xr:uid="{2BBE6EF1-0E88-4BD2-8A36-5AB540986F04}">
      <formula1>$J$16:$J$23</formula1>
    </dataValidation>
    <dataValidation type="list" allowBlank="1" showInputMessage="1" showErrorMessage="1" prompt="Select an output slew rate setting (V/us)" sqref="B7" xr:uid="{CE6C0CF5-77E2-41D3-A094-C32E8C693257}">
      <formula1>$K$16:$K$17</formula1>
    </dataValidation>
    <dataValidation type="decimal" allowBlank="1" showInputMessage="1" showErrorMessage="1" error="This current is outside the operating range of the DRV8316" prompt="Enter an RMS current between 0 and 5.657 amps" sqref="B4" xr:uid="{2C9372E1-D318-45B3-B829-FD540804A4C3}">
      <formula1>0</formula1>
      <formula2>5.657</formula2>
    </dataValidation>
    <dataValidation type="list" allowBlank="1" showInputMessage="1" showErrorMessage="1" prompt="Select copper thickness of top/bottom layers (oz)" sqref="X23 AF15 AB9" xr:uid="{616ECF49-EE17-4C81-816E-7569DFCE23DA}">
      <formula1>$H$16:$H$17</formula1>
    </dataValidation>
    <dataValidation type="list" allowBlank="1" showInputMessage="1" showErrorMessage="1" prompt="Select copper thickness of internal layers if more than 2 layer PCB (oz)" sqref="X23" xr:uid="{53FD9B9B-A2C6-4AAE-9194-74B31FCDE16E}">
      <formula1>$I$16:$I$17</formula1>
    </dataValidation>
    <dataValidation type="decimal" allowBlank="1" showInputMessage="1" showErrorMessage="1" error="This voltage is outside the operating range of the DRV8316" prompt="Enter a motor supply voltage between 4.5 to 35 volts" sqref="B3" xr:uid="{F19F63EF-28A0-44DF-9BDF-E3FC2838FF16}">
      <formula1>4.5</formula1>
      <formula2>35</formula2>
    </dataValidation>
    <dataValidation allowBlank="1" showInputMessage="1" showErrorMessage="1" prompt="Enter the operating ambient temperature" sqref="X21" xr:uid="{5AEDF6A2-149F-476C-9176-494DBE566237}"/>
    <dataValidation type="decimal" allowBlank="1" showInputMessage="1" showErrorMessage="1" error="This ambient temperature is outside the operating range of the DRV8316" prompt="Enter the ambient temperature for normal operation from -40C to 125C" sqref="B9" xr:uid="{B77802D3-3DEC-4D10-9EB2-AC9038F0D69A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632A-85FD-4CEB-94A8-3ABEEA4FEE49}">
  <sheetPr codeName="Sheet1"/>
  <dimension ref="A1:EU91"/>
  <sheetViews>
    <sheetView zoomScale="70" zoomScaleNormal="70" workbookViewId="0">
      <selection activeCell="B11" sqref="B11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/>
    <col min="8" max="8" width="28.5234375" hidden="1"/>
    <col min="9" max="9" width="12.5234375" hidden="1"/>
    <col min="10" max="10" width="31" hidden="1"/>
    <col min="11" max="11" width="25.5234375" hidden="1"/>
    <col min="12" max="12" width="11.47265625" hidden="1"/>
    <col min="13" max="13" width="12.5234375" hidden="1"/>
    <col min="14" max="14" width="30.47265625" hidden="1"/>
    <col min="15" max="15" width="26.47265625" hidden="1"/>
    <col min="16" max="16" width="11" hidden="1"/>
    <col min="17" max="18" width="10.5234375" hidden="1"/>
    <col min="19" max="19" width="11.47265625" hidden="1"/>
    <col min="20" max="20" width="13.47265625" hidden="1"/>
    <col min="21" max="21" width="13.5234375" hidden="1"/>
    <col min="22" max="22" width="21.47265625" hidden="1"/>
    <col min="23" max="23" width="14.47265625" hidden="1"/>
    <col min="24" max="24" width="30.47265625" hidden="1"/>
    <col min="25" max="25" width="14.47265625" hidden="1"/>
    <col min="26" max="26" width="24.5234375" hidden="1"/>
    <col min="27" max="27" width="23.47265625" hidden="1"/>
    <col min="28" max="28" width="44.7890625" hidden="1"/>
    <col min="29" max="29" width="30.47265625" hidden="1"/>
    <col min="30" max="30" width="13.5234375" hidden="1"/>
    <col min="31" max="31" width="7.5234375" hidden="1"/>
    <col min="32" max="32" width="45.7890625" hidden="1"/>
    <col min="33" max="33" width="34.5234375" hidden="1"/>
    <col min="34" max="34" width="14" style="10" hidden="1"/>
    <col min="35" max="35" width="16.47265625" style="10" hidden="1"/>
    <col min="36" max="36" width="13.5234375" style="10" hidden="1"/>
    <col min="37" max="37" width="16.47265625" style="10" hidden="1"/>
    <col min="38" max="38" width="13.5234375" hidden="1"/>
    <col min="39" max="39" width="16.47265625" hidden="1"/>
    <col min="40" max="40" width="13.5234375" hidden="1"/>
    <col min="41" max="121" width="8.83984375" hidden="1"/>
    <col min="122" max="149" width="8.5234375" hidden="1"/>
    <col min="152" max="16384" width="8.83984375" hidden="1"/>
  </cols>
  <sheetData>
    <row r="1" spans="1:37" ht="15" customHeight="1" thickBot="1" x14ac:dyDescent="0.6">
      <c r="A1" s="142" t="s">
        <v>0</v>
      </c>
      <c r="B1" s="185" t="s">
        <v>1</v>
      </c>
      <c r="C1" s="185"/>
      <c r="D1" s="185"/>
      <c r="E1" s="185"/>
      <c r="F1" s="185"/>
    </row>
    <row r="2" spans="1:37" ht="15" customHeight="1" thickBot="1" x14ac:dyDescent="0.6">
      <c r="A2" s="83" t="s">
        <v>2</v>
      </c>
      <c r="B2" s="74" t="s">
        <v>3</v>
      </c>
      <c r="C2" s="80" t="s">
        <v>4</v>
      </c>
      <c r="D2" s="84" t="s">
        <v>5</v>
      </c>
      <c r="E2" s="85" t="s">
        <v>6</v>
      </c>
      <c r="F2" s="85" t="s">
        <v>4</v>
      </c>
    </row>
    <row r="3" spans="1:37" ht="15" customHeight="1" thickBot="1" x14ac:dyDescent="0.6">
      <c r="A3" s="86" t="s">
        <v>7</v>
      </c>
      <c r="B3" s="70">
        <v>24</v>
      </c>
      <c r="C3" s="77" t="s">
        <v>8</v>
      </c>
      <c r="D3" s="87" t="s">
        <v>9</v>
      </c>
      <c r="E3" s="97">
        <f>ROUND(IF(W32=-1,"n/a",$AJ$30),2)</f>
        <v>1.37</v>
      </c>
      <c r="F3" s="77" t="s">
        <v>10</v>
      </c>
    </row>
    <row r="4" spans="1:37" ht="15" customHeight="1" thickBot="1" x14ac:dyDescent="0.6">
      <c r="A4" s="88" t="s">
        <v>11</v>
      </c>
      <c r="B4" s="71">
        <v>2</v>
      </c>
      <c r="C4" s="78" t="s">
        <v>12</v>
      </c>
      <c r="D4" s="87" t="s">
        <v>13</v>
      </c>
      <c r="E4" s="98">
        <f>ROUND(IF(W32=-1,"n/a",$AJ$31),2)</f>
        <v>69.14</v>
      </c>
      <c r="F4" s="79" t="s">
        <v>14</v>
      </c>
    </row>
    <row r="5" spans="1:37" ht="15" customHeight="1" x14ac:dyDescent="0.55000000000000004">
      <c r="A5" s="89" t="s">
        <v>15</v>
      </c>
      <c r="B5" s="71" t="s">
        <v>16</v>
      </c>
      <c r="C5" s="78" t="s">
        <v>17</v>
      </c>
      <c r="D5" s="90"/>
      <c r="E5" s="90"/>
      <c r="F5" s="90"/>
      <c r="AK5"/>
    </row>
    <row r="6" spans="1:37" ht="15" customHeight="1" x14ac:dyDescent="0.55000000000000004">
      <c r="A6" s="91" t="s">
        <v>18</v>
      </c>
      <c r="B6" s="70" t="s">
        <v>19</v>
      </c>
      <c r="C6" s="78" t="s">
        <v>17</v>
      </c>
      <c r="D6" s="1"/>
      <c r="E6" s="1"/>
      <c r="F6" s="1"/>
    </row>
    <row r="7" spans="1:37" ht="15" customHeight="1" x14ac:dyDescent="0.55000000000000004">
      <c r="A7" s="91" t="s">
        <v>20</v>
      </c>
      <c r="B7" s="70">
        <v>0</v>
      </c>
      <c r="C7" s="78" t="s">
        <v>21</v>
      </c>
      <c r="D7" s="1"/>
      <c r="E7" s="1"/>
      <c r="F7" s="1"/>
    </row>
    <row r="8" spans="1:37" ht="15" customHeight="1" x14ac:dyDescent="0.55000000000000004">
      <c r="A8" s="88" t="str">
        <f>IF(B7=0,"Motor Phase Inductance [Ls]","-")</f>
        <v>Motor Phase Inductance [Ls]</v>
      </c>
      <c r="B8" s="70"/>
      <c r="C8" s="78" t="str">
        <f>IF(B7=0,"mH","-")</f>
        <v>mH</v>
      </c>
      <c r="D8" s="1"/>
      <c r="E8" s="1"/>
      <c r="F8" s="1"/>
      <c r="AK8" s="58"/>
    </row>
    <row r="9" spans="1:37" ht="15" customHeight="1" x14ac:dyDescent="0.55000000000000004">
      <c r="A9" s="88" t="str">
        <f>IF(B7=0,"Motor Phase BEMF constant [Ke_ph(pk)]","-")</f>
        <v>Motor Phase BEMF constant [Ke_ph(pk)]</v>
      </c>
      <c r="B9" s="70"/>
      <c r="C9" s="78" t="str">
        <f>IF(B7=0,"V/Hz","-")</f>
        <v>V/Hz</v>
      </c>
      <c r="D9" s="1"/>
      <c r="E9" s="1"/>
      <c r="F9" s="1"/>
    </row>
    <row r="10" spans="1:37" ht="15" customHeight="1" x14ac:dyDescent="0.55000000000000004">
      <c r="A10" s="88" t="s">
        <v>22</v>
      </c>
      <c r="B10" s="70">
        <v>133</v>
      </c>
      <c r="C10" s="77" t="s">
        <v>23</v>
      </c>
      <c r="D10" s="1"/>
      <c r="E10" s="1"/>
      <c r="F10" s="1"/>
    </row>
    <row r="11" spans="1:37" ht="15" customHeight="1" x14ac:dyDescent="0.55000000000000004">
      <c r="A11" s="86" t="s">
        <v>24</v>
      </c>
      <c r="B11" s="70">
        <v>20</v>
      </c>
      <c r="C11" s="78" t="s">
        <v>25</v>
      </c>
      <c r="D11" s="6"/>
      <c r="E11" s="6"/>
      <c r="F11" s="1"/>
    </row>
    <row r="12" spans="1:37" ht="15" customHeight="1" x14ac:dyDescent="0.55000000000000004">
      <c r="A12" s="92" t="s">
        <v>26</v>
      </c>
      <c r="B12" s="71">
        <v>200</v>
      </c>
      <c r="C12" s="78" t="s">
        <v>27</v>
      </c>
      <c r="D12" s="6"/>
      <c r="E12" s="6"/>
      <c r="F12" s="1"/>
    </row>
    <row r="13" spans="1:37" ht="15" customHeight="1" x14ac:dyDescent="0.55000000000000004">
      <c r="A13" s="93" t="s">
        <v>28</v>
      </c>
      <c r="B13" s="72">
        <v>5</v>
      </c>
      <c r="C13" s="78" t="s">
        <v>29</v>
      </c>
      <c r="D13" s="6"/>
      <c r="E13" s="6"/>
      <c r="F13" s="1"/>
    </row>
    <row r="14" spans="1:37" ht="15" customHeight="1" thickBot="1" x14ac:dyDescent="0.6">
      <c r="A14" s="94" t="s">
        <v>30</v>
      </c>
      <c r="B14" s="73">
        <v>25</v>
      </c>
      <c r="C14" s="79" t="s">
        <v>14</v>
      </c>
      <c r="D14" s="6"/>
      <c r="E14" s="6"/>
      <c r="F14" s="1"/>
    </row>
    <row r="15" spans="1:37" ht="15" customHeight="1" thickBot="1" x14ac:dyDescent="0.6">
      <c r="A15" s="95" t="s">
        <v>31</v>
      </c>
      <c r="B15" s="74"/>
      <c r="C15" s="80"/>
      <c r="D15" s="6"/>
      <c r="E15" s="6"/>
      <c r="F15" s="1"/>
    </row>
    <row r="16" spans="1:37" ht="15" customHeight="1" x14ac:dyDescent="0.55000000000000004">
      <c r="A16" s="96" t="s">
        <v>32</v>
      </c>
      <c r="B16" s="75">
        <v>4</v>
      </c>
      <c r="C16" s="77" t="s">
        <v>33</v>
      </c>
      <c r="D16" s="6"/>
      <c r="E16" s="6"/>
      <c r="F16" s="1"/>
    </row>
    <row r="17" spans="1:151" ht="29.95" customHeight="1" x14ac:dyDescent="0.55000000000000004">
      <c r="A17" s="92" t="s">
        <v>34</v>
      </c>
      <c r="B17" s="71">
        <v>2</v>
      </c>
      <c r="C17" s="81" t="s">
        <v>35</v>
      </c>
      <c r="D17" s="6"/>
      <c r="E17" s="6"/>
      <c r="F17" s="1"/>
    </row>
    <row r="18" spans="1:151" ht="28.45" customHeight="1" thickBot="1" x14ac:dyDescent="0.6">
      <c r="A18" s="94" t="s">
        <v>36</v>
      </c>
      <c r="B18" s="76">
        <v>16</v>
      </c>
      <c r="C18" s="82" t="s">
        <v>37</v>
      </c>
      <c r="D18" s="6"/>
      <c r="E18" s="6"/>
      <c r="F18" s="1"/>
    </row>
    <row r="19" spans="1:151" ht="28.45" customHeight="1" thickBot="1" x14ac:dyDescent="0.6">
      <c r="A19" s="194" t="s">
        <v>38</v>
      </c>
      <c r="B19" s="195"/>
      <c r="C19" s="196"/>
      <c r="D19" s="6"/>
      <c r="E19" s="6"/>
      <c r="F19" s="1"/>
      <c r="G19" s="1"/>
      <c r="AK19" s="11"/>
      <c r="AO19" s="10"/>
    </row>
    <row r="20" spans="1:151" s="1" customFormat="1" ht="32.200000000000003" hidden="1" customHeight="1" x14ac:dyDescent="0.5500000000000000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 s="10"/>
      <c r="AI20" s="10"/>
      <c r="AJ20" s="10"/>
      <c r="AK20" s="10"/>
      <c r="AL20"/>
      <c r="AM20"/>
      <c r="AN20"/>
      <c r="AO20" s="11"/>
      <c r="EU20"/>
    </row>
    <row r="21" spans="1:151" ht="22.5" hidden="1" customHeight="1" x14ac:dyDescent="0.55000000000000004"/>
    <row r="22" spans="1:151" hidden="1" x14ac:dyDescent="0.55000000000000004">
      <c r="AH22"/>
      <c r="AI22"/>
      <c r="AJ22"/>
    </row>
    <row r="23" spans="1:151" hidden="1" x14ac:dyDescent="0.55000000000000004">
      <c r="AH23"/>
      <c r="AI23"/>
      <c r="AJ23"/>
    </row>
    <row r="24" spans="1:151" hidden="1" x14ac:dyDescent="0.55000000000000004"/>
    <row r="25" spans="1:151" hidden="1" x14ac:dyDescent="0.55000000000000004">
      <c r="AH25"/>
      <c r="AI25"/>
      <c r="AJ25"/>
    </row>
    <row r="26" spans="1:151" ht="29.1" hidden="1" thickBot="1" x14ac:dyDescent="0.6">
      <c r="A26" s="3"/>
      <c r="Y26" s="51" t="s">
        <v>39</v>
      </c>
      <c r="Z26" s="51" t="s">
        <v>6</v>
      </c>
      <c r="AA26" s="51" t="s">
        <v>4</v>
      </c>
      <c r="AH26"/>
      <c r="AI26"/>
    </row>
    <row r="27" spans="1:151" ht="29.1" hidden="1" thickBot="1" x14ac:dyDescent="0.6">
      <c r="A27" s="3"/>
      <c r="I27" s="6" t="s">
        <v>32</v>
      </c>
      <c r="J27" s="6" t="s">
        <v>40</v>
      </c>
      <c r="K27" s="6" t="s">
        <v>41</v>
      </c>
      <c r="L27" s="6" t="s">
        <v>36</v>
      </c>
      <c r="M27" s="6" t="s">
        <v>42</v>
      </c>
      <c r="N27" s="6" t="s">
        <v>43</v>
      </c>
      <c r="O27" s="6" t="s">
        <v>44</v>
      </c>
      <c r="P27" s="6" t="s">
        <v>45</v>
      </c>
      <c r="Q27" s="8" t="s">
        <v>46</v>
      </c>
      <c r="R27" s="8"/>
      <c r="T27" s="62" t="s">
        <v>47</v>
      </c>
      <c r="U27" s="63"/>
      <c r="V27" s="63"/>
      <c r="W27" s="64"/>
      <c r="Y27" s="25" t="s">
        <v>48</v>
      </c>
      <c r="Z27" s="3">
        <v>1.4829000000000001</v>
      </c>
      <c r="AA27" s="3" t="s">
        <v>12</v>
      </c>
      <c r="AE27" s="65" t="s">
        <v>49</v>
      </c>
      <c r="AF27" s="66"/>
      <c r="AG27" s="65" t="s">
        <v>50</v>
      </c>
      <c r="AH27" s="66"/>
      <c r="AI27" s="65" t="s">
        <v>51</v>
      </c>
      <c r="AJ27" s="66"/>
    </row>
    <row r="28" spans="1:151" ht="29.1" hidden="1" thickBot="1" x14ac:dyDescent="0.6">
      <c r="A28" s="3"/>
      <c r="I28" s="6">
        <v>2</v>
      </c>
      <c r="J28" s="6">
        <v>1</v>
      </c>
      <c r="K28" s="6">
        <v>1</v>
      </c>
      <c r="L28" s="26">
        <v>4</v>
      </c>
      <c r="M28" s="6">
        <v>25</v>
      </c>
      <c r="N28" s="6">
        <v>1.8</v>
      </c>
      <c r="O28" s="6">
        <v>10</v>
      </c>
      <c r="P28" s="6" t="s">
        <v>52</v>
      </c>
      <c r="Q28" s="8" t="s">
        <v>19</v>
      </c>
      <c r="R28" s="8"/>
      <c r="T28" s="17" t="s">
        <v>53</v>
      </c>
      <c r="U28" s="18" t="s">
        <v>54</v>
      </c>
      <c r="V28" s="18" t="s">
        <v>55</v>
      </c>
      <c r="W28" s="19" t="s">
        <v>56</v>
      </c>
      <c r="Y28" s="25" t="s">
        <v>57</v>
      </c>
      <c r="Z28" s="3">
        <v>0.99</v>
      </c>
      <c r="AA28" s="3"/>
      <c r="AE28" s="29" t="s">
        <v>58</v>
      </c>
      <c r="AF28">
        <f>$Z$31+($AC$33*(B14-25))</f>
        <v>47.5</v>
      </c>
      <c r="AG28" s="29" t="s">
        <v>59</v>
      </c>
      <c r="AH28">
        <f>$Z$31+($AC$33*(AF31-25))</f>
        <v>54.89214475</v>
      </c>
      <c r="AI28" s="29" t="s">
        <v>60</v>
      </c>
      <c r="AJ28" s="57">
        <f>$Z$31+($AC$33*(AH31-25))</f>
        <v>55.40959075</v>
      </c>
    </row>
    <row r="29" spans="1:151" ht="29.1" hidden="1" thickBot="1" x14ac:dyDescent="0.6">
      <c r="A29" s="24"/>
      <c r="B29" s="24"/>
      <c r="C29" s="24"/>
      <c r="I29" s="6">
        <v>4</v>
      </c>
      <c r="J29" s="6">
        <v>2</v>
      </c>
      <c r="K29" s="6">
        <v>2</v>
      </c>
      <c r="L29" s="26">
        <v>8</v>
      </c>
      <c r="M29" s="6">
        <v>50</v>
      </c>
      <c r="N29" s="6">
        <v>1.1000000000000001</v>
      </c>
      <c r="O29" s="6">
        <v>15</v>
      </c>
      <c r="P29" s="6" t="s">
        <v>16</v>
      </c>
      <c r="Q29" s="8" t="s">
        <v>61</v>
      </c>
      <c r="R29" s="8"/>
      <c r="T29" s="14">
        <f>B17</f>
        <v>2</v>
      </c>
      <c r="U29" s="12">
        <f>IF(B16&gt;2,Z35,"")</f>
        <v>1</v>
      </c>
      <c r="V29" s="12">
        <f>IF(B16&gt;2,Z35,"")</f>
        <v>1</v>
      </c>
      <c r="W29" s="15">
        <f>B17</f>
        <v>2</v>
      </c>
      <c r="Y29" s="25" t="s">
        <v>62</v>
      </c>
      <c r="Z29" s="3">
        <v>10</v>
      </c>
      <c r="AA29" s="3" t="s">
        <v>29</v>
      </c>
      <c r="AE29" s="30" t="s">
        <v>63</v>
      </c>
      <c r="AF29" s="9">
        <f>ROUND(3*$B$4*$B$4*AF28/(1000),3)</f>
        <v>0.56999999999999995</v>
      </c>
      <c r="AG29" s="30" t="s">
        <v>64</v>
      </c>
      <c r="AH29" s="9">
        <f>ROUND(3*$B$4*$B$4*AH28/(1000),3)</f>
        <v>0.65900000000000003</v>
      </c>
      <c r="AI29" s="30" t="s">
        <v>65</v>
      </c>
      <c r="AJ29" s="9">
        <f>ROUND(3*$B$4*$B$4*AJ28/(1000),3)</f>
        <v>0.66500000000000004</v>
      </c>
    </row>
    <row r="30" spans="1:151" ht="29.1" hidden="1" thickBot="1" x14ac:dyDescent="0.6">
      <c r="A30" s="3"/>
      <c r="I30" s="6"/>
      <c r="J30" s="6">
        <v>3</v>
      </c>
      <c r="K30" s="6"/>
      <c r="L30" s="26">
        <v>16</v>
      </c>
      <c r="M30" s="6">
        <v>125</v>
      </c>
      <c r="N30" s="6">
        <v>0.65</v>
      </c>
      <c r="O30" s="6">
        <v>20</v>
      </c>
      <c r="P30" s="6"/>
      <c r="Q30" s="8"/>
      <c r="R30" s="8"/>
      <c r="S30" s="8"/>
      <c r="T30" s="67" t="s">
        <v>66</v>
      </c>
      <c r="U30" s="68"/>
      <c r="V30" s="69"/>
      <c r="W30" s="33" t="s">
        <v>67</v>
      </c>
      <c r="Y30" s="25" t="s">
        <v>68</v>
      </c>
      <c r="Z30" s="45">
        <v>15</v>
      </c>
      <c r="AA30" s="3" t="s">
        <v>29</v>
      </c>
      <c r="AB30" t="s">
        <v>69</v>
      </c>
      <c r="AE30" s="30" t="s">
        <v>70</v>
      </c>
      <c r="AF30" s="9">
        <f>AF29+$AC$34</f>
        <v>1.2714387254901962</v>
      </c>
      <c r="AG30" s="30" t="s">
        <v>71</v>
      </c>
      <c r="AH30" s="9">
        <f>AH29+$AC$34</f>
        <v>1.3604387254901962</v>
      </c>
      <c r="AI30" s="31" t="s">
        <v>72</v>
      </c>
      <c r="AJ30" s="32">
        <f>AJ29+$AC$34</f>
        <v>1.3664387254901962</v>
      </c>
    </row>
    <row r="31" spans="1:151" ht="29.1" hidden="1" thickBot="1" x14ac:dyDescent="0.6">
      <c r="A31" s="23"/>
      <c r="H31" s="4"/>
      <c r="I31" s="6"/>
      <c r="J31" s="6"/>
      <c r="K31" s="6"/>
      <c r="L31" s="26">
        <v>32</v>
      </c>
      <c r="M31" s="6">
        <v>200</v>
      </c>
      <c r="N31" s="6">
        <v>0.5</v>
      </c>
      <c r="O31" s="6">
        <v>25</v>
      </c>
      <c r="P31" s="6"/>
      <c r="Q31" s="8"/>
      <c r="R31" s="8"/>
      <c r="S31" s="8"/>
      <c r="T31" s="20" t="s">
        <v>73</v>
      </c>
      <c r="U31" s="21" t="s">
        <v>74</v>
      </c>
      <c r="V31" s="21" t="s">
        <v>75</v>
      </c>
      <c r="W31" s="34" t="s">
        <v>76</v>
      </c>
      <c r="Y31" s="25" t="s">
        <v>77</v>
      </c>
      <c r="Z31" s="3">
        <v>47.5</v>
      </c>
      <c r="AA31" s="3" t="s">
        <v>78</v>
      </c>
      <c r="AE31" s="30" t="s">
        <v>79</v>
      </c>
      <c r="AF31" s="9">
        <f>$B$14+(AF30*$Z$36)</f>
        <v>66.067470833333331</v>
      </c>
      <c r="AG31" s="30" t="s">
        <v>80</v>
      </c>
      <c r="AH31" s="9">
        <f>$B$14+(AH30*$Z$36)</f>
        <v>68.942170833333336</v>
      </c>
      <c r="AI31" s="31" t="s">
        <v>81</v>
      </c>
      <c r="AJ31" s="32">
        <f>$B$14+(AJ30*$Z$36)</f>
        <v>69.135970833333332</v>
      </c>
    </row>
    <row r="32" spans="1:151" ht="28.8" hidden="1" x14ac:dyDescent="0.55000000000000004">
      <c r="A32" s="3"/>
      <c r="H32" s="4"/>
      <c r="I32" s="6"/>
      <c r="J32" s="6"/>
      <c r="K32" s="6"/>
      <c r="L32" s="26">
        <v>64</v>
      </c>
      <c r="M32" s="6"/>
      <c r="N32" s="6"/>
      <c r="O32" s="6">
        <v>30</v>
      </c>
      <c r="P32" s="6"/>
      <c r="Q32" s="8"/>
      <c r="R32" s="8"/>
      <c r="S32" s="8"/>
      <c r="T32" s="14" t="str">
        <f>_xlfn.TEXTJOIN(",",TRUE,T29:W29)</f>
        <v>2,1,1,2</v>
      </c>
      <c r="U32" s="12">
        <f>B18</f>
        <v>16</v>
      </c>
      <c r="V32" s="12"/>
      <c r="W32" s="15">
        <f>VLOOKUP(U32&amp;T32,S35:V59,4,FALSE)</f>
        <v>32.299999999999997</v>
      </c>
      <c r="Y32" s="28" t="s">
        <v>82</v>
      </c>
      <c r="Z32" s="8">
        <v>70</v>
      </c>
      <c r="AA32" s="8" t="s">
        <v>78</v>
      </c>
      <c r="AH32"/>
      <c r="AI32"/>
      <c r="EU32" s="1"/>
    </row>
    <row r="33" spans="1:151" ht="28.8" hidden="1" x14ac:dyDescent="0.55000000000000004">
      <c r="A33" s="3"/>
      <c r="G33" s="1"/>
      <c r="I33" s="5"/>
      <c r="J33" s="5"/>
      <c r="O33" s="6">
        <v>35</v>
      </c>
      <c r="T33" s="59" t="s">
        <v>83</v>
      </c>
      <c r="U33" s="60"/>
      <c r="V33" s="60"/>
      <c r="W33" s="61"/>
      <c r="Y33" s="25" t="s">
        <v>30</v>
      </c>
      <c r="Z33" s="3">
        <v>25</v>
      </c>
      <c r="AA33" s="3" t="s">
        <v>84</v>
      </c>
      <c r="AB33" t="s">
        <v>85</v>
      </c>
      <c r="AC33" s="43">
        <f>(Z32-Z31)/(150-25)</f>
        <v>0.18</v>
      </c>
      <c r="AH33"/>
      <c r="AI33"/>
    </row>
    <row r="34" spans="1:151" s="1" customFormat="1" ht="43.2" hidden="1" x14ac:dyDescent="0.55000000000000004">
      <c r="D34" s="6"/>
      <c r="E34" s="6"/>
      <c r="G34"/>
      <c r="H34"/>
      <c r="I34" s="5"/>
      <c r="J34" s="5"/>
      <c r="K34"/>
      <c r="L34"/>
      <c r="M34"/>
      <c r="N34"/>
      <c r="O34" s="6">
        <v>40</v>
      </c>
      <c r="P34"/>
      <c r="Q34"/>
      <c r="R34"/>
      <c r="S34" s="4" t="s">
        <v>86</v>
      </c>
      <c r="T34" s="102" t="s">
        <v>87</v>
      </c>
      <c r="U34" s="103" t="s">
        <v>73</v>
      </c>
      <c r="V34" s="104" t="s">
        <v>88</v>
      </c>
      <c r="W34" s="22"/>
      <c r="X34"/>
      <c r="Y34" s="25" t="s">
        <v>89</v>
      </c>
      <c r="Z34" s="3">
        <v>1.25</v>
      </c>
      <c r="AA34" s="3" t="s">
        <v>90</v>
      </c>
      <c r="AB34" s="27" t="s">
        <v>91</v>
      </c>
      <c r="AC34" s="35">
        <f>Z45+Z49+Z50+Z52+Z53+Z54+Z62</f>
        <v>0.70143872549019615</v>
      </c>
      <c r="AD34"/>
      <c r="AE34"/>
      <c r="AF34"/>
      <c r="AG34"/>
      <c r="AH34"/>
      <c r="AI34"/>
      <c r="AJ34" s="10"/>
      <c r="AK34" s="10"/>
      <c r="AL34"/>
      <c r="AM34"/>
      <c r="AN34"/>
      <c r="EU34"/>
    </row>
    <row r="35" spans="1:151" ht="28.8" hidden="1" x14ac:dyDescent="0.55000000000000004">
      <c r="A35" s="3"/>
      <c r="I35" s="5"/>
      <c r="J35" s="5"/>
      <c r="O35" s="6">
        <v>45</v>
      </c>
      <c r="S35" s="4" t="str">
        <f t="shared" ref="S35:S59" si="0">T35&amp;U35</f>
        <v>41,1</v>
      </c>
      <c r="T35" s="14">
        <v>4</v>
      </c>
      <c r="U35" s="12" t="s">
        <v>92</v>
      </c>
      <c r="V35" s="99">
        <v>63.8</v>
      </c>
      <c r="W35" s="13"/>
      <c r="Y35" s="25" t="str">
        <f>IF(B16&gt;2,"Internal Layers Cu Thickness","")</f>
        <v>Internal Layers Cu Thickness</v>
      </c>
      <c r="Z35" s="3">
        <v>1</v>
      </c>
      <c r="AA35" s="3" t="str">
        <f>IF(B16&gt;2,"oz","")</f>
        <v>oz</v>
      </c>
      <c r="AH35"/>
      <c r="AI35"/>
    </row>
    <row r="36" spans="1:151" hidden="1" x14ac:dyDescent="0.55000000000000004">
      <c r="A36" s="3"/>
      <c r="I36" s="5"/>
      <c r="J36" s="5"/>
      <c r="O36" s="6">
        <v>50</v>
      </c>
      <c r="S36" s="4" t="str">
        <f t="shared" si="0"/>
        <v>42,2</v>
      </c>
      <c r="T36" s="14">
        <v>4</v>
      </c>
      <c r="U36" s="12" t="s">
        <v>93</v>
      </c>
      <c r="V36" s="100">
        <v>58.4</v>
      </c>
      <c r="W36" s="15"/>
      <c r="Y36" s="25" t="s">
        <v>94</v>
      </c>
      <c r="Z36" s="3">
        <f>W32</f>
        <v>32.299999999999997</v>
      </c>
      <c r="AA36" s="3" t="s">
        <v>95</v>
      </c>
      <c r="AH36"/>
      <c r="AI36"/>
    </row>
    <row r="37" spans="1:151" ht="28.8" hidden="1" x14ac:dyDescent="0.55000000000000004">
      <c r="A37" s="3"/>
      <c r="I37" s="5"/>
      <c r="J37" s="5"/>
      <c r="O37" s="6">
        <v>55</v>
      </c>
      <c r="S37" s="4" t="str">
        <f t="shared" si="0"/>
        <v>41,1,1,1</v>
      </c>
      <c r="T37" s="14">
        <v>4</v>
      </c>
      <c r="U37" s="12" t="s">
        <v>96</v>
      </c>
      <c r="V37" s="99">
        <v>54.2</v>
      </c>
      <c r="W37" s="15"/>
      <c r="Y37" s="51" t="s">
        <v>39</v>
      </c>
      <c r="Z37" s="51" t="s">
        <v>6</v>
      </c>
      <c r="AA37" s="51" t="s">
        <v>4</v>
      </c>
      <c r="AH37"/>
      <c r="AI37"/>
    </row>
    <row r="38" spans="1:151" ht="28.8" hidden="1" x14ac:dyDescent="0.55000000000000004">
      <c r="A38" s="3"/>
      <c r="I38" s="5"/>
      <c r="J38" s="5"/>
      <c r="O38" s="6">
        <v>60</v>
      </c>
      <c r="S38" s="4" t="str">
        <f t="shared" si="0"/>
        <v>42,1,1,2</v>
      </c>
      <c r="T38" s="14">
        <v>4</v>
      </c>
      <c r="U38" s="12" t="s">
        <v>97</v>
      </c>
      <c r="V38" s="99">
        <v>52.4</v>
      </c>
      <c r="W38" s="15"/>
      <c r="Y38" s="25" t="s">
        <v>98</v>
      </c>
      <c r="Z38" s="3">
        <f>ROUND((B3/SQRT(3))*Z28,2)</f>
        <v>13.72</v>
      </c>
      <c r="AA38" s="3" t="s">
        <v>8</v>
      </c>
      <c r="AH38"/>
      <c r="AI38"/>
    </row>
    <row r="39" spans="1:151" ht="28.8" hidden="1" x14ac:dyDescent="0.55000000000000004">
      <c r="A39" s="3"/>
      <c r="I39" s="5"/>
      <c r="J39" s="5"/>
      <c r="O39" s="6">
        <v>65</v>
      </c>
      <c r="S39" s="4" t="str">
        <f t="shared" si="0"/>
        <v>81,1</v>
      </c>
      <c r="T39" s="14">
        <v>8</v>
      </c>
      <c r="U39" s="12" t="s">
        <v>92</v>
      </c>
      <c r="V39" s="99">
        <v>52.7</v>
      </c>
      <c r="W39" s="15"/>
      <c r="Y39" s="25" t="s">
        <v>99</v>
      </c>
      <c r="Z39" s="3">
        <f>ROUND(Z38/1.41,2)</f>
        <v>9.73</v>
      </c>
      <c r="AA39" s="3" t="s">
        <v>8</v>
      </c>
      <c r="AD39" s="1"/>
      <c r="AE39" s="1"/>
      <c r="AF39" s="1"/>
      <c r="AG39" s="1"/>
      <c r="AH39" s="1"/>
      <c r="AI39" s="1"/>
      <c r="AJ39" s="11"/>
    </row>
    <row r="40" spans="1:151" hidden="1" x14ac:dyDescent="0.55000000000000004">
      <c r="A40" s="3"/>
      <c r="I40" s="5"/>
      <c r="J40" s="5"/>
      <c r="O40" s="6">
        <v>70</v>
      </c>
      <c r="S40" s="4" t="str">
        <f t="shared" si="0"/>
        <v>82,2</v>
      </c>
      <c r="T40" s="14">
        <v>8</v>
      </c>
      <c r="U40" s="12" t="s">
        <v>93</v>
      </c>
      <c r="V40" s="100">
        <v>46.2</v>
      </c>
      <c r="W40" s="15"/>
      <c r="Y40" s="25"/>
      <c r="Z40" s="3"/>
      <c r="AA40" s="3"/>
      <c r="AH40"/>
      <c r="AI40"/>
      <c r="AK40" s="4"/>
    </row>
    <row r="41" spans="1:151" ht="28.8" hidden="1" x14ac:dyDescent="0.55000000000000004">
      <c r="A41" s="3"/>
      <c r="I41" s="5"/>
      <c r="J41" s="5"/>
      <c r="O41" s="6">
        <v>75</v>
      </c>
      <c r="S41" s="4" t="str">
        <f t="shared" si="0"/>
        <v>81,1,1,1</v>
      </c>
      <c r="T41" s="14">
        <v>8</v>
      </c>
      <c r="U41" s="12" t="s">
        <v>96</v>
      </c>
      <c r="V41" s="99">
        <v>42.5</v>
      </c>
      <c r="W41" s="15"/>
      <c r="Y41" s="25" t="s">
        <v>100</v>
      </c>
      <c r="Z41" s="3">
        <f>B4/0.816</f>
        <v>2.4509803921568629</v>
      </c>
      <c r="AA41" s="3" t="s">
        <v>12</v>
      </c>
      <c r="AH41"/>
      <c r="AI41"/>
      <c r="AK41" s="4"/>
    </row>
    <row r="42" spans="1:151" hidden="1" x14ac:dyDescent="0.55000000000000004">
      <c r="A42" s="3"/>
      <c r="I42" s="5"/>
      <c r="J42" s="5"/>
      <c r="O42" s="6">
        <v>80</v>
      </c>
      <c r="S42" s="4" t="str">
        <f t="shared" si="0"/>
        <v>82,1,1,2</v>
      </c>
      <c r="T42" s="14">
        <v>8</v>
      </c>
      <c r="U42" s="12" t="s">
        <v>97</v>
      </c>
      <c r="V42" s="99">
        <v>40.6</v>
      </c>
      <c r="W42" s="15"/>
      <c r="Y42" s="28" t="s">
        <v>101</v>
      </c>
      <c r="Z42" s="8">
        <f>B3/B12</f>
        <v>0.12</v>
      </c>
      <c r="AA42" s="8" t="s">
        <v>21</v>
      </c>
      <c r="AH42"/>
      <c r="AI42"/>
    </row>
    <row r="43" spans="1:151" ht="72" hidden="1" x14ac:dyDescent="0.55000000000000004">
      <c r="A43" s="3"/>
      <c r="I43" s="5"/>
      <c r="J43" s="5"/>
      <c r="O43" s="6">
        <v>85</v>
      </c>
      <c r="S43" s="4" t="str">
        <f t="shared" si="0"/>
        <v>161,1</v>
      </c>
      <c r="T43" s="14">
        <v>16</v>
      </c>
      <c r="U43" s="12" t="s">
        <v>92</v>
      </c>
      <c r="V43" s="99">
        <v>45.9</v>
      </c>
      <c r="W43" s="15"/>
      <c r="Y43" s="28" t="s">
        <v>102</v>
      </c>
      <c r="Z43" s="8">
        <f>VLOOKUP(B12,M28:N31,2,FALSE)</f>
        <v>0.5</v>
      </c>
      <c r="AA43" s="8" t="s">
        <v>21</v>
      </c>
      <c r="AH43"/>
      <c r="AI43"/>
      <c r="AK43"/>
    </row>
    <row r="44" spans="1:151" hidden="1" x14ac:dyDescent="0.55000000000000004">
      <c r="A44" s="3"/>
      <c r="I44" s="5"/>
      <c r="J44" s="5"/>
      <c r="O44" s="6">
        <v>90</v>
      </c>
      <c r="S44" s="4" t="str">
        <f t="shared" si="0"/>
        <v>162,2</v>
      </c>
      <c r="T44" s="14">
        <v>16</v>
      </c>
      <c r="U44" s="12" t="s">
        <v>93</v>
      </c>
      <c r="V44" s="100">
        <v>38.1</v>
      </c>
      <c r="W44" s="16"/>
      <c r="Y44" s="47" t="s">
        <v>103</v>
      </c>
      <c r="Z44" s="24" t="s">
        <v>6</v>
      </c>
      <c r="AA44" s="24" t="s">
        <v>4</v>
      </c>
      <c r="AH44"/>
      <c r="AI44"/>
      <c r="AK44"/>
    </row>
    <row r="45" spans="1:151" ht="28.8" hidden="1" x14ac:dyDescent="0.55000000000000004">
      <c r="A45" s="3"/>
      <c r="I45" s="5"/>
      <c r="J45" s="5"/>
      <c r="O45" s="6">
        <v>95</v>
      </c>
      <c r="S45" s="4" t="str">
        <f t="shared" si="0"/>
        <v>161,1,1,1</v>
      </c>
      <c r="T45" s="14">
        <v>16</v>
      </c>
      <c r="U45" s="12" t="s">
        <v>96</v>
      </c>
      <c r="V45" s="99">
        <v>34.5</v>
      </c>
      <c r="W45" s="15"/>
      <c r="Y45" s="25" t="s">
        <v>104</v>
      </c>
      <c r="Z45" s="46">
        <f>B3*Z30/1000</f>
        <v>0.36</v>
      </c>
      <c r="AA45" s="3"/>
      <c r="AH45"/>
      <c r="AI45"/>
      <c r="AK45"/>
    </row>
    <row r="46" spans="1:151" hidden="1" x14ac:dyDescent="0.55000000000000004">
      <c r="A46" s="3"/>
      <c r="I46" s="5"/>
      <c r="J46" s="5"/>
      <c r="O46" s="6">
        <v>100</v>
      </c>
      <c r="S46" s="4" t="str">
        <f t="shared" si="0"/>
        <v>162,1,1,2</v>
      </c>
      <c r="T46" s="14">
        <v>16</v>
      </c>
      <c r="U46" s="12" t="s">
        <v>97</v>
      </c>
      <c r="V46" s="99">
        <v>32.299999999999997</v>
      </c>
      <c r="W46" s="15"/>
      <c r="Y46" s="25"/>
      <c r="Z46" s="3"/>
      <c r="AA46" s="3"/>
      <c r="AH46"/>
      <c r="AI46"/>
      <c r="AK46"/>
    </row>
    <row r="47" spans="1:151" hidden="1" x14ac:dyDescent="0.55000000000000004">
      <c r="A47" s="3"/>
      <c r="I47" s="5"/>
      <c r="J47" s="5"/>
      <c r="O47" s="6">
        <v>105</v>
      </c>
      <c r="S47" s="4" t="str">
        <f t="shared" si="0"/>
        <v>321,1</v>
      </c>
      <c r="T47" s="14">
        <v>32</v>
      </c>
      <c r="U47" s="12" t="s">
        <v>92</v>
      </c>
      <c r="V47" s="99">
        <v>42.1</v>
      </c>
      <c r="W47" s="15"/>
      <c r="Y47" s="47" t="s">
        <v>105</v>
      </c>
      <c r="Z47" s="24" t="s">
        <v>6</v>
      </c>
      <c r="AA47" s="24" t="s">
        <v>4</v>
      </c>
      <c r="AH47"/>
      <c r="AI47"/>
    </row>
    <row r="48" spans="1:151" ht="28.8" hidden="1" x14ac:dyDescent="0.55000000000000004">
      <c r="A48" s="3"/>
      <c r="I48" s="5"/>
      <c r="J48" s="5"/>
      <c r="O48" s="6">
        <v>110</v>
      </c>
      <c r="S48" s="4" t="str">
        <f t="shared" si="0"/>
        <v>322,2</v>
      </c>
      <c r="T48" s="14">
        <v>32</v>
      </c>
      <c r="U48" s="12" t="s">
        <v>93</v>
      </c>
      <c r="V48" s="100">
        <v>33.200000000000003</v>
      </c>
      <c r="W48" s="15"/>
      <c r="Y48" s="48" t="s">
        <v>106</v>
      </c>
      <c r="Z48" s="45">
        <f>ROUND(2*Z41*Z41*AJ28/(1000),3)</f>
        <v>0.66600000000000004</v>
      </c>
      <c r="AA48" s="3" t="s">
        <v>10</v>
      </c>
      <c r="AB48" s="44" t="s">
        <v>107</v>
      </c>
      <c r="AH48"/>
      <c r="AI48"/>
    </row>
    <row r="49" spans="1:151" ht="28.8" hidden="1" x14ac:dyDescent="0.55000000000000004">
      <c r="A49" s="3"/>
      <c r="I49" s="5"/>
      <c r="J49" s="5"/>
      <c r="O49" s="6">
        <v>115</v>
      </c>
      <c r="S49" s="4" t="str">
        <f t="shared" si="0"/>
        <v>321,1,1,1</v>
      </c>
      <c r="T49" s="14">
        <v>32</v>
      </c>
      <c r="U49" s="12" t="s">
        <v>96</v>
      </c>
      <c r="V49" s="99">
        <v>29.5</v>
      </c>
      <c r="W49" s="15"/>
      <c r="Y49" s="48" t="s">
        <v>108</v>
      </c>
      <c r="Z49" s="46">
        <f>ROUND(B3*Z41*Z42/1000000*B11*1000,3)</f>
        <v>0.14099999999999999</v>
      </c>
      <c r="AA49" s="3" t="s">
        <v>10</v>
      </c>
      <c r="AB49" s="44" t="s">
        <v>109</v>
      </c>
      <c r="AH49"/>
      <c r="AI49"/>
    </row>
    <row r="50" spans="1:151" hidden="1" x14ac:dyDescent="0.55000000000000004">
      <c r="A50" s="24"/>
      <c r="B50" s="24"/>
      <c r="C50" s="24"/>
      <c r="F50" s="5"/>
      <c r="I50" s="5"/>
      <c r="J50" s="5"/>
      <c r="O50" s="6">
        <v>120</v>
      </c>
      <c r="S50" s="4" t="str">
        <f t="shared" si="0"/>
        <v>322,1,1,2</v>
      </c>
      <c r="T50" s="14">
        <v>32</v>
      </c>
      <c r="U50" s="12" t="s">
        <v>97</v>
      </c>
      <c r="V50" s="99">
        <v>27</v>
      </c>
      <c r="W50" s="15"/>
      <c r="Y50" s="48" t="s">
        <v>110</v>
      </c>
      <c r="Z50" s="46">
        <f>Z34*5*B11*0.000000001*1000</f>
        <v>1.2500000000000003E-4</v>
      </c>
      <c r="AA50" s="3" t="s">
        <v>10</v>
      </c>
      <c r="AB50" s="43" t="s">
        <v>111</v>
      </c>
      <c r="AH50"/>
      <c r="AI50"/>
    </row>
    <row r="51" spans="1:151" ht="28.8" hidden="1" x14ac:dyDescent="0.55000000000000004">
      <c r="A51" s="25"/>
      <c r="E51" s="3"/>
      <c r="F51" s="3"/>
      <c r="I51" s="5"/>
      <c r="J51" s="5"/>
      <c r="O51" s="6">
        <v>125</v>
      </c>
      <c r="S51" s="4" t="str">
        <f t="shared" si="0"/>
        <v>641,1</v>
      </c>
      <c r="T51" s="14">
        <v>64</v>
      </c>
      <c r="U51" s="12" t="s">
        <v>92</v>
      </c>
      <c r="V51" s="99">
        <v>40.200000000000003</v>
      </c>
      <c r="W51" s="15"/>
      <c r="Y51" s="48" t="s">
        <v>112</v>
      </c>
      <c r="Z51" s="45">
        <f>Z48+Z49+Z50</f>
        <v>0.80712500000000009</v>
      </c>
      <c r="AA51" s="3" t="s">
        <v>10</v>
      </c>
      <c r="AH51"/>
      <c r="AI51"/>
    </row>
    <row r="52" spans="1:151" hidden="1" x14ac:dyDescent="0.55000000000000004">
      <c r="A52" s="3"/>
      <c r="F52" s="5"/>
      <c r="I52" s="5"/>
      <c r="J52" s="5"/>
      <c r="O52" s="6">
        <v>130</v>
      </c>
      <c r="S52" s="4" t="str">
        <f t="shared" si="0"/>
        <v>642,2</v>
      </c>
      <c r="T52" s="14">
        <v>64</v>
      </c>
      <c r="U52" s="12" t="s">
        <v>93</v>
      </c>
      <c r="V52" s="100">
        <v>30.4</v>
      </c>
      <c r="W52" s="15"/>
      <c r="Y52" s="49" t="s">
        <v>113</v>
      </c>
      <c r="Z52" s="55">
        <f>2*0.7*Z41*B11*1000*Z43/1000000</f>
        <v>3.4313725490196074E-2</v>
      </c>
      <c r="AA52" s="3" t="s">
        <v>10</v>
      </c>
      <c r="AB52" s="44" t="s">
        <v>114</v>
      </c>
      <c r="AH52"/>
      <c r="AI52"/>
    </row>
    <row r="53" spans="1:151" hidden="1" x14ac:dyDescent="0.55000000000000004">
      <c r="A53" s="23"/>
      <c r="I53" s="5"/>
      <c r="J53" s="5"/>
      <c r="O53" s="6">
        <v>135</v>
      </c>
      <c r="S53" s="4" t="str">
        <f t="shared" si="0"/>
        <v>641,1,1,1</v>
      </c>
      <c r="T53" s="14">
        <v>64</v>
      </c>
      <c r="U53" s="12" t="s">
        <v>96</v>
      </c>
      <c r="V53" s="99">
        <v>26.6</v>
      </c>
      <c r="W53" s="15"/>
      <c r="Y53" s="50" t="s">
        <v>115</v>
      </c>
      <c r="Z53" s="55">
        <f>(B3-3.3)*B13*0.001</f>
        <v>0.10350000000000001</v>
      </c>
      <c r="AA53" s="3" t="s">
        <v>10</v>
      </c>
      <c r="AB53" s="43" t="s">
        <v>116</v>
      </c>
      <c r="AH53"/>
      <c r="AI53"/>
      <c r="EU53" s="4"/>
    </row>
    <row r="54" spans="1:151" hidden="1" x14ac:dyDescent="0.55000000000000004">
      <c r="A54" s="24"/>
      <c r="B54" s="24"/>
      <c r="C54" s="24"/>
      <c r="G54" s="4"/>
      <c r="I54" s="5"/>
      <c r="J54" s="5"/>
      <c r="O54" s="6">
        <v>140</v>
      </c>
      <c r="S54" s="4" t="str">
        <f t="shared" si="0"/>
        <v>642,1,1,2</v>
      </c>
      <c r="T54" s="36">
        <v>64</v>
      </c>
      <c r="U54" s="37" t="s">
        <v>97</v>
      </c>
      <c r="V54" s="101">
        <v>23.9</v>
      </c>
      <c r="W54" s="38"/>
      <c r="Y54" s="49" t="s">
        <v>117</v>
      </c>
      <c r="Z54" s="55">
        <v>6.25E-2</v>
      </c>
      <c r="AA54" s="3" t="s">
        <v>10</v>
      </c>
      <c r="AB54" t="s">
        <v>118</v>
      </c>
      <c r="AH54"/>
      <c r="AI54"/>
      <c r="EU54" s="4"/>
    </row>
    <row r="55" spans="1:151" s="4" customFormat="1" hidden="1" x14ac:dyDescent="0.55000000000000004">
      <c r="A55" s="25"/>
      <c r="D55" s="7"/>
      <c r="E55" s="7"/>
      <c r="H55"/>
      <c r="I55" s="5"/>
      <c r="J55" s="5"/>
      <c r="K55"/>
      <c r="L55"/>
      <c r="M55"/>
      <c r="N55"/>
      <c r="O55" s="6">
        <v>145</v>
      </c>
      <c r="P55"/>
      <c r="Q55"/>
      <c r="R55"/>
      <c r="S55" s="40" t="str">
        <f t="shared" si="0"/>
        <v>43,1,1,3</v>
      </c>
      <c r="T55" s="39">
        <v>4</v>
      </c>
      <c r="U55" s="12" t="s">
        <v>119</v>
      </c>
      <c r="V55" s="99">
        <v>51.1</v>
      </c>
      <c r="W55" s="41"/>
      <c r="X55"/>
      <c r="Y55" s="25"/>
      <c r="Z55" s="3"/>
      <c r="AA55" s="3"/>
      <c r="AB55"/>
      <c r="AC55"/>
      <c r="AD55"/>
      <c r="AE55"/>
      <c r="AF55"/>
      <c r="AG55"/>
      <c r="AH55"/>
      <c r="AI55"/>
      <c r="AJ55" s="10"/>
      <c r="EU55"/>
    </row>
    <row r="56" spans="1:151" s="4" customFormat="1" ht="28.8" hidden="1" x14ac:dyDescent="0.55000000000000004">
      <c r="A56" s="24"/>
      <c r="B56" s="24"/>
      <c r="C56" s="24"/>
      <c r="D56" s="7"/>
      <c r="E56" s="7"/>
      <c r="G56"/>
      <c r="H56"/>
      <c r="I56"/>
      <c r="J56"/>
      <c r="K56"/>
      <c r="L56"/>
      <c r="M56"/>
      <c r="N56"/>
      <c r="O56" s="6">
        <v>150</v>
      </c>
      <c r="P56"/>
      <c r="Q56"/>
      <c r="R56"/>
      <c r="S56" s="40" t="str">
        <f t="shared" si="0"/>
        <v>83,1,1,3</v>
      </c>
      <c r="T56" s="39">
        <v>8</v>
      </c>
      <c r="U56" s="12" t="s">
        <v>119</v>
      </c>
      <c r="V56" s="99">
        <v>39</v>
      </c>
      <c r="W56" s="41"/>
      <c r="X56"/>
      <c r="Y56" s="51" t="s">
        <v>39</v>
      </c>
      <c r="Z56" s="51" t="s">
        <v>6</v>
      </c>
      <c r="AA56" s="51" t="s">
        <v>4</v>
      </c>
      <c r="AB56"/>
      <c r="AC56"/>
      <c r="AD56"/>
      <c r="AE56"/>
      <c r="AF56"/>
      <c r="AG56"/>
      <c r="AH56"/>
      <c r="AI56"/>
      <c r="AJ56" s="10"/>
      <c r="EU56"/>
    </row>
    <row r="57" spans="1:151" hidden="1" x14ac:dyDescent="0.55000000000000004">
      <c r="A57" s="24"/>
      <c r="I57" s="5"/>
      <c r="O57" s="6">
        <v>155</v>
      </c>
      <c r="S57" s="40" t="str">
        <f t="shared" si="0"/>
        <v>163,1,1,3</v>
      </c>
      <c r="T57" s="39">
        <v>16</v>
      </c>
      <c r="U57" s="12" t="s">
        <v>119</v>
      </c>
      <c r="V57" s="99">
        <v>30.6</v>
      </c>
      <c r="W57" s="41"/>
      <c r="Y57" s="4" t="s">
        <v>120</v>
      </c>
      <c r="AH57"/>
      <c r="AI57"/>
    </row>
    <row r="58" spans="1:151" hidden="1" x14ac:dyDescent="0.55000000000000004">
      <c r="A58" s="3"/>
      <c r="O58" s="6">
        <v>160</v>
      </c>
      <c r="S58" s="40" t="str">
        <f t="shared" si="0"/>
        <v>323,1,1,3</v>
      </c>
      <c r="T58" s="39">
        <v>32</v>
      </c>
      <c r="U58" s="12" t="s">
        <v>119</v>
      </c>
      <c r="V58" s="99">
        <v>25.1</v>
      </c>
      <c r="W58" s="41"/>
      <c r="Y58" s="25" t="s">
        <v>121</v>
      </c>
      <c r="Z58" s="3">
        <f>B9*B10</f>
        <v>0</v>
      </c>
      <c r="AA58" s="3" t="s">
        <v>8</v>
      </c>
      <c r="AB58" s="10"/>
      <c r="AC58" s="10"/>
      <c r="AH58"/>
      <c r="AI58"/>
      <c r="EO58" s="10"/>
      <c r="EP58" s="10"/>
      <c r="EQ58" s="10"/>
      <c r="ER58" s="10"/>
    </row>
    <row r="59" spans="1:151" ht="29.1" hidden="1" thickBot="1" x14ac:dyDescent="0.6">
      <c r="A59" s="3"/>
      <c r="O59" s="6">
        <v>165</v>
      </c>
      <c r="S59" s="40" t="str">
        <f t="shared" si="0"/>
        <v>643,1,1,3</v>
      </c>
      <c r="T59" s="105">
        <v>64</v>
      </c>
      <c r="U59" s="37" t="s">
        <v>119</v>
      </c>
      <c r="V59" s="101">
        <v>21.7</v>
      </c>
      <c r="W59" s="42"/>
      <c r="Y59" s="28" t="s">
        <v>122</v>
      </c>
      <c r="Z59" s="8">
        <f>IF(B7=0,IF(B6="Wye",(Z41*3*B8*1000)/(B3+(2*Z58)),(Z41*B8*1000)/(B3+Z58)),B7)</f>
        <v>0</v>
      </c>
      <c r="AA59" s="8" t="s">
        <v>21</v>
      </c>
      <c r="AB59" s="50" t="s">
        <v>123</v>
      </c>
      <c r="AC59" s="52" t="s">
        <v>124</v>
      </c>
      <c r="AE59" s="53"/>
      <c r="AH59"/>
      <c r="AI59"/>
      <c r="EO59" s="10"/>
      <c r="EP59" s="10"/>
      <c r="EQ59" s="10"/>
      <c r="ER59" s="10"/>
    </row>
    <row r="60" spans="1:151" ht="28.8" hidden="1" x14ac:dyDescent="0.55000000000000004">
      <c r="A60" s="3"/>
      <c r="I60" s="4"/>
      <c r="J60" s="4"/>
      <c r="K60" s="4"/>
      <c r="L60" s="4"/>
      <c r="M60" s="4"/>
      <c r="N60" s="4"/>
      <c r="O60" s="6">
        <v>170</v>
      </c>
      <c r="P60" s="4"/>
      <c r="Q60" s="4"/>
      <c r="R60" s="4"/>
      <c r="S60" s="4"/>
      <c r="T60" s="4"/>
      <c r="U60" s="4"/>
      <c r="V60" s="4"/>
      <c r="W60" s="4"/>
      <c r="X60" s="4"/>
      <c r="Y60" s="25" t="s">
        <v>125</v>
      </c>
      <c r="Z60" s="3">
        <f>6*(1/2)*0.7*Z41*Z59/1000000*B10</f>
        <v>0</v>
      </c>
      <c r="AA60" s="3" t="s">
        <v>10</v>
      </c>
      <c r="AB60" s="45" t="s">
        <v>126</v>
      </c>
      <c r="AC60" s="54"/>
      <c r="AD60" s="4"/>
      <c r="AE60" s="54"/>
      <c r="AF60" s="4"/>
      <c r="AG60" s="4"/>
      <c r="AH60" s="4"/>
      <c r="AI60" s="4"/>
      <c r="AJ60" s="4"/>
      <c r="EO60" s="10"/>
      <c r="EP60" s="10"/>
      <c r="EQ60" s="10"/>
      <c r="ER60" s="10"/>
    </row>
    <row r="61" spans="1:151" ht="28.8" hidden="1" x14ac:dyDescent="0.55000000000000004">
      <c r="A61" s="3"/>
      <c r="I61" s="4"/>
      <c r="J61" s="4"/>
      <c r="K61" s="4"/>
      <c r="L61" s="4"/>
      <c r="M61" s="4"/>
      <c r="N61" s="4"/>
      <c r="O61" s="6">
        <v>175</v>
      </c>
      <c r="P61" s="4"/>
      <c r="Q61" s="4"/>
      <c r="R61" s="4"/>
      <c r="S61" s="4"/>
      <c r="T61" s="4"/>
      <c r="U61" s="4"/>
      <c r="V61" s="4"/>
      <c r="W61" s="4"/>
      <c r="X61" s="4"/>
      <c r="Y61" s="25" t="s">
        <v>127</v>
      </c>
      <c r="Z61" s="3">
        <f>6*(1/3)*Z41*Z41*AF28/1000*Z59/1000000*B10</f>
        <v>0</v>
      </c>
      <c r="AA61" s="3" t="s">
        <v>10</v>
      </c>
      <c r="AB61" s="48" t="s">
        <v>128</v>
      </c>
      <c r="AC61" s="54"/>
      <c r="AD61" s="4"/>
      <c r="AE61" s="54"/>
      <c r="AF61" s="4"/>
      <c r="AG61" s="4"/>
      <c r="AH61" s="4"/>
      <c r="AI61" s="4"/>
      <c r="AJ61" s="4"/>
      <c r="EO61" s="10"/>
      <c r="EP61" s="10"/>
      <c r="EQ61" s="10"/>
      <c r="ER61" s="10"/>
    </row>
    <row r="62" spans="1:151" hidden="1" x14ac:dyDescent="0.55000000000000004">
      <c r="A62" s="3"/>
      <c r="O62" s="6">
        <v>180</v>
      </c>
      <c r="Y62" s="25" t="s">
        <v>129</v>
      </c>
      <c r="Z62" s="56">
        <f>IF($B$5="No",Z60,Z61)</f>
        <v>0</v>
      </c>
      <c r="AA62" s="3" t="s">
        <v>10</v>
      </c>
      <c r="AH62"/>
      <c r="AI62"/>
      <c r="EM62" s="10"/>
      <c r="EN62" s="10"/>
      <c r="EO62" s="10"/>
      <c r="EP62" s="10"/>
    </row>
    <row r="63" spans="1:151" hidden="1" x14ac:dyDescent="0.55000000000000004">
      <c r="A63" s="3"/>
      <c r="O63" s="6">
        <v>185</v>
      </c>
      <c r="AH63"/>
      <c r="AI63"/>
      <c r="AJ63"/>
      <c r="EM63" s="10"/>
      <c r="EN63" s="10"/>
      <c r="EO63" s="10"/>
      <c r="EP63" s="10"/>
    </row>
    <row r="64" spans="1:151" hidden="1" x14ac:dyDescent="0.55000000000000004">
      <c r="A64" s="3"/>
      <c r="O64" s="6">
        <v>190</v>
      </c>
      <c r="AH64"/>
      <c r="AI64"/>
      <c r="AJ64"/>
      <c r="EM64" s="10"/>
      <c r="EN64" s="10"/>
      <c r="EO64" s="10"/>
      <c r="EP64" s="10"/>
    </row>
    <row r="65" spans="1:33" hidden="1" x14ac:dyDescent="0.55000000000000004">
      <c r="A65" s="3"/>
      <c r="O65" s="6">
        <v>195</v>
      </c>
    </row>
    <row r="66" spans="1:33" ht="43.5" hidden="1" customHeight="1" x14ac:dyDescent="0.55000000000000004">
      <c r="A66" s="3"/>
      <c r="O66" s="6">
        <v>200</v>
      </c>
    </row>
    <row r="67" spans="1:33" hidden="1" x14ac:dyDescent="0.55000000000000004">
      <c r="A67" s="3"/>
    </row>
    <row r="68" spans="1:33" hidden="1" x14ac:dyDescent="0.55000000000000004">
      <c r="A68" s="3"/>
    </row>
    <row r="69" spans="1:33" hidden="1" x14ac:dyDescent="0.55000000000000004">
      <c r="A69" s="3"/>
      <c r="AG69" s="5"/>
    </row>
    <row r="70" spans="1:33" hidden="1" x14ac:dyDescent="0.55000000000000004">
      <c r="A70" s="3"/>
      <c r="AG70" s="5"/>
    </row>
    <row r="71" spans="1:33" hidden="1" x14ac:dyDescent="0.55000000000000004">
      <c r="A71" s="3"/>
      <c r="AG71" s="5"/>
    </row>
    <row r="72" spans="1:33" hidden="1" x14ac:dyDescent="0.55000000000000004">
      <c r="A72" s="3"/>
    </row>
    <row r="73" spans="1:33" hidden="1" x14ac:dyDescent="0.55000000000000004">
      <c r="A73" s="3"/>
    </row>
    <row r="74" spans="1:33" hidden="1" x14ac:dyDescent="0.55000000000000004">
      <c r="A74" s="3"/>
    </row>
    <row r="75" spans="1:33" hidden="1" x14ac:dyDescent="0.55000000000000004">
      <c r="A75" s="3"/>
    </row>
    <row r="76" spans="1:33" hidden="1" x14ac:dyDescent="0.55000000000000004">
      <c r="A76" s="3"/>
    </row>
    <row r="77" spans="1:33" hidden="1" x14ac:dyDescent="0.55000000000000004">
      <c r="A77" s="3"/>
    </row>
    <row r="78" spans="1:33" hidden="1" x14ac:dyDescent="0.55000000000000004">
      <c r="A78" s="3"/>
    </row>
    <row r="79" spans="1:33" hidden="1" x14ac:dyDescent="0.55000000000000004">
      <c r="A79" s="3"/>
    </row>
    <row r="80" spans="1:33" hidden="1" x14ac:dyDescent="0.55000000000000004">
      <c r="A80" s="3"/>
    </row>
    <row r="81" spans="1:1" hidden="1" x14ac:dyDescent="0.55000000000000004">
      <c r="A81" s="3"/>
    </row>
    <row r="82" spans="1:1" hidden="1" x14ac:dyDescent="0.55000000000000004">
      <c r="A82" s="3"/>
    </row>
    <row r="83" spans="1:1" hidden="1" x14ac:dyDescent="0.55000000000000004">
      <c r="A83" s="3"/>
    </row>
    <row r="84" spans="1:1" hidden="1" x14ac:dyDescent="0.55000000000000004">
      <c r="A84" s="3"/>
    </row>
    <row r="85" spans="1:1" hidden="1" x14ac:dyDescent="0.55000000000000004">
      <c r="A85" s="3"/>
    </row>
    <row r="86" spans="1:1" hidden="1" x14ac:dyDescent="0.55000000000000004">
      <c r="A86" s="3"/>
    </row>
    <row r="87" spans="1:1" hidden="1" x14ac:dyDescent="0.55000000000000004">
      <c r="A87" s="3"/>
    </row>
    <row r="88" spans="1:1" hidden="1" x14ac:dyDescent="0.55000000000000004">
      <c r="A88" s="3"/>
    </row>
    <row r="89" spans="1:1" hidden="1" x14ac:dyDescent="0.55000000000000004">
      <c r="A89" s="3"/>
    </row>
    <row r="90" spans="1:1" hidden="1" x14ac:dyDescent="0.55000000000000004">
      <c r="A90" s="3"/>
    </row>
    <row r="91" spans="1:1" hidden="1" x14ac:dyDescent="0.55000000000000004">
      <c r="A91" s="3"/>
    </row>
  </sheetData>
  <sheetProtection algorithmName="SHA-512" hashValue="M40uBEH8qLruIrh2IcVzRX67t+SGMm4FjuhZZR6DxJokm40OkEj78uF2aHITsC3GKTUL1wrbmddg/o09BY56cw==" saltValue="nn1eTbhxT2BhUvxjpWrfQQ==" spinCount="100000" sheet="1" objects="1" scenarios="1"/>
  <mergeCells count="2">
    <mergeCell ref="A19:C19"/>
    <mergeCell ref="B1:F1"/>
  </mergeCells>
  <conditionalFormatting sqref="E4">
    <cfRule type="cellIs" dxfId="57" priority="1" operator="lessThan">
      <formula>125</formula>
    </cfRule>
    <cfRule type="cellIs" dxfId="56" priority="2" operator="greaterThan">
      <formula>125</formula>
    </cfRule>
  </conditionalFormatting>
  <dataValidations count="19">
    <dataValidation allowBlank="1" showInputMessage="1" showErrorMessage="1" prompt="Enter the motor's commutation time (tcomm) as shown on the diagram to the right. If unknown, enter &quot;0&quot;" sqref="B7" xr:uid="{40540B56-85E1-400F-9A53-C9025133A8DF}"/>
    <dataValidation allowBlank="1" showInputMessage="1" showErrorMessage="1" prompt="Enter the motor's phase inductance in mH" sqref="B8" xr:uid="{4BCB971D-9406-46B4-82DB-56E94764E7F3}"/>
    <dataValidation allowBlank="1" showInputMessage="1" showErrorMessage="1" prompt="Enter the motor phase's Back-EMF constant (Ke_ph)" sqref="B9" xr:uid="{352CB767-D27E-4898-9DAD-C8FFFD6F12A7}"/>
    <dataValidation allowBlank="1" showInputMessage="1" showErrorMessage="1" prompt="Enter the motor's electrical frequency in Hz" sqref="B10" xr:uid="{6817F371-677C-4610-922B-7EC1E45DAB1D}"/>
    <dataValidation type="decimal" allowBlank="1" showInputMessage="1" showErrorMessage="1" error="AVDD output current out of range" prompt="Enter the AVDD output load current between 0 to 30mA" sqref="B13" xr:uid="{8DF2D472-091E-4ECB-8B7D-EC4D6C570AD0}">
      <formula1>0</formula1>
      <formula2>30</formula2>
    </dataValidation>
    <dataValidation allowBlank="1" showInputMessage="1" showErrorMessage="1" prompt="Enter the operating ambient temperature" sqref="Z33" xr:uid="{F2C4602A-6C68-4E0C-A74F-7D42BBF4D60F}"/>
    <dataValidation type="decimal" allowBlank="1" showInputMessage="1" showErrorMessage="1" error="This voltage is outside the operating range of the DRV8316" prompt="Enter a motor supply voltage between 4.5 to 35 volts" sqref="B3" xr:uid="{4929778C-D57F-47B1-9759-9DBABBA8F7FC}">
      <formula1>4.5</formula1>
      <formula2>35</formula2>
    </dataValidation>
    <dataValidation type="list" allowBlank="1" showInputMessage="1" showErrorMessage="1" prompt="Select copper thickness of internal layers if more than 2 layer PCB (oz)" sqref="Z35" xr:uid="{85D04804-5D50-4017-83F6-32ED613382D8}">
      <formula1>$K$28:$K$29</formula1>
    </dataValidation>
    <dataValidation type="list" allowBlank="1" showInputMessage="1" showErrorMessage="1" prompt="Select copper thickness of top/bottom layers (oz)" sqref="Z35 AH27" xr:uid="{CBBF6E75-516A-457F-9D4C-7A9353CE4C71}">
      <formula1>$J$28:$J$29</formula1>
    </dataValidation>
    <dataValidation type="decimal" allowBlank="1" showInputMessage="1" showErrorMessage="1" error="This current is outside the operating range of the DRV8316" prompt="Enter an RMS current between 0 and 5.657 amps" sqref="B4" xr:uid="{7C1359C0-63CD-41A9-8243-BD10717AB923}">
      <formula1>0</formula1>
      <formula2>5.657</formula2>
    </dataValidation>
    <dataValidation type="list" allowBlank="1" showInputMessage="1" showErrorMessage="1" prompt="Select copper thickness of top/bottom layers (oz)" sqref="B17" xr:uid="{3B77F55A-C008-4667-ABF1-A1BA5D56D8B3}">
      <formula1>$J$28:$J$30</formula1>
    </dataValidation>
    <dataValidation type="list" allowBlank="1" showInputMessage="1" showErrorMessage="1" prompt="Select wye or delta motor configuration" sqref="B6" xr:uid="{843F889A-B4ED-41FB-B4D3-B7F8780E8D71}">
      <formula1>$Q$28:$Q$29</formula1>
    </dataValidation>
    <dataValidation type="list" allowBlank="1" showInputMessage="1" showErrorMessage="1" prompt="Select yes or no if active demag is enabled" sqref="B5" xr:uid="{170B0A57-5D9C-47CC-9ED7-730EBF2A0939}">
      <formula1>$P$28:$P$29</formula1>
    </dataValidation>
    <dataValidation type="list" allowBlank="1" showInputMessage="1" showErrorMessage="1" prompt="Select an output slew rate setting (V/us)" sqref="B12" xr:uid="{B0B6A282-D698-4613-83FE-8F3B517A595B}">
      <formula1>$M$28:$M$31</formula1>
    </dataValidation>
    <dataValidation type="list" allowBlank="1" showInputMessage="1" showErrorMessage="1" prompt="Select PCB area (cm2)" sqref="B18" xr:uid="{260BE929-94E3-49CB-9DBD-31DE6062AA7A}">
      <formula1>$L$28:$L$32</formula1>
    </dataValidation>
    <dataValidation type="list" allowBlank="1" showInputMessage="1" showErrorMessage="1" prompt="Select # of PCB Layers" sqref="B16" xr:uid="{1636A260-6F36-44FA-922E-AAC4528D2614}">
      <formula1>$I$28:$I$29</formula1>
    </dataValidation>
    <dataValidation type="list" allowBlank="1" showInputMessage="1" showErrorMessage="1" error="This PWM frequency is outside of the operating range of the DRV8316" prompt="Select a PWM frequency between 10kHz and 200kHz" sqref="B11" xr:uid="{877C7FEA-1305-4882-AD4C-75ED852EC735}">
      <formula1>$O$28:$O$66</formula1>
    </dataValidation>
    <dataValidation type="list" allowBlank="1" showInputMessage="1" showErrorMessage="1" prompt="Select copper thickness of top/bottom layers (oz)" sqref="B18" xr:uid="{DA28010D-5B34-4FB3-916F-5657D8178107}">
      <formula1>$L$28:$L$32</formula1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4" xr:uid="{346AF00D-2F5D-4723-B7BA-B501D2B0F55D}">
      <formula1>-40</formula1>
      <formula2>125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13948-6F60-4929-932B-9BE28207170F}">
  <dimension ref="A1:EU95"/>
  <sheetViews>
    <sheetView zoomScale="85" zoomScaleNormal="85" workbookViewId="0">
      <selection activeCell="C4" sqref="C4"/>
    </sheetView>
  </sheetViews>
  <sheetFormatPr defaultColWidth="0" defaultRowHeight="14.4" zeroHeight="1" x14ac:dyDescent="0.55000000000000004"/>
  <cols>
    <col min="1" max="1" width="86" style="2" bestFit="1" customWidth="1"/>
    <col min="2" max="2" width="21.3671875" style="3" customWidth="1"/>
    <col min="3" max="3" width="18.734375" style="3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/>
    <col min="8" max="8" width="28.5234375" hidden="1"/>
    <col min="9" max="9" width="12.5234375" hidden="1"/>
    <col min="10" max="10" width="31" hidden="1"/>
    <col min="11" max="11" width="25.5234375" hidden="1"/>
    <col min="12" max="12" width="11.47265625" hidden="1"/>
    <col min="13" max="13" width="12.5234375" hidden="1"/>
    <col min="14" max="14" width="30.47265625" hidden="1"/>
    <col min="15" max="15" width="26.47265625" hidden="1"/>
    <col min="16" max="16" width="11" hidden="1"/>
    <col min="17" max="18" width="10.5234375" hidden="1"/>
    <col min="19" max="19" width="11.47265625" hidden="1"/>
    <col min="20" max="20" width="13.47265625" hidden="1"/>
    <col min="21" max="21" width="13.5234375" hidden="1"/>
    <col min="22" max="22" width="21.47265625" hidden="1"/>
    <col min="23" max="23" width="14.47265625" hidden="1"/>
    <col min="24" max="24" width="30.47265625" hidden="1"/>
    <col min="25" max="25" width="14.47265625" hidden="1"/>
    <col min="26" max="26" width="24.5234375" hidden="1"/>
    <col min="27" max="27" width="23.47265625" hidden="1"/>
    <col min="28" max="28" width="44.7890625" hidden="1"/>
    <col min="29" max="29" width="30.47265625" hidden="1"/>
    <col min="30" max="30" width="13.5234375" hidden="1"/>
    <col min="31" max="31" width="7.5234375" hidden="1"/>
    <col min="32" max="32" width="45.7890625" hidden="1"/>
    <col min="33" max="33" width="34.5234375" hidden="1"/>
    <col min="34" max="34" width="14" style="10" hidden="1"/>
    <col min="35" max="35" width="16.47265625" style="10" hidden="1"/>
    <col min="36" max="36" width="13.5234375" style="10" hidden="1"/>
    <col min="37" max="37" width="16.47265625" style="10" hidden="1"/>
    <col min="38" max="38" width="13.5234375" hidden="1"/>
    <col min="39" max="39" width="16.47265625" hidden="1"/>
    <col min="40" max="40" width="13.5234375" hidden="1"/>
    <col min="41" max="121" width="8.83984375" hidden="1"/>
    <col min="122" max="149" width="8.5234375" hidden="1"/>
    <col min="152" max="16384" width="8.83984375" hidden="1"/>
  </cols>
  <sheetData>
    <row r="1" spans="1:37" ht="15" customHeight="1" thickBot="1" x14ac:dyDescent="0.6">
      <c r="A1" s="142" t="s">
        <v>197</v>
      </c>
      <c r="B1" s="185" t="s">
        <v>198</v>
      </c>
      <c r="C1" s="185"/>
      <c r="D1" s="185"/>
      <c r="E1" s="185"/>
      <c r="F1" s="185"/>
    </row>
    <row r="2" spans="1:37" ht="15" customHeight="1" thickBot="1" x14ac:dyDescent="0.6">
      <c r="A2" s="83" t="s">
        <v>2</v>
      </c>
      <c r="B2" s="74" t="s">
        <v>199</v>
      </c>
      <c r="C2" s="80" t="s">
        <v>4</v>
      </c>
      <c r="D2" s="84" t="s">
        <v>5</v>
      </c>
      <c r="E2" s="85" t="s">
        <v>6</v>
      </c>
      <c r="F2" s="85" t="s">
        <v>4</v>
      </c>
    </row>
    <row r="3" spans="1:37" ht="76" customHeight="1" thickBot="1" x14ac:dyDescent="0.6">
      <c r="A3" s="86" t="s">
        <v>7</v>
      </c>
      <c r="B3" s="168">
        <v>12</v>
      </c>
      <c r="C3" s="77" t="s">
        <v>8</v>
      </c>
      <c r="D3" s="87" t="s">
        <v>9</v>
      </c>
      <c r="E3" s="97">
        <f>ROUND(IF(Y29=-1,"n/a",$AL$27),2)</f>
        <v>12.54</v>
      </c>
      <c r="F3" s="77" t="s">
        <v>10</v>
      </c>
    </row>
    <row r="4" spans="1:37" ht="15" customHeight="1" thickBot="1" x14ac:dyDescent="0.6">
      <c r="A4" s="88" t="s">
        <v>200</v>
      </c>
      <c r="B4" s="169">
        <v>2</v>
      </c>
      <c r="C4" s="78" t="s">
        <v>12</v>
      </c>
      <c r="D4" s="87" t="s">
        <v>13</v>
      </c>
      <c r="E4" s="98">
        <f>ROUND(IF(Y29=-1,"n/a",$AL$28),2)</f>
        <v>1109.6099999999999</v>
      </c>
      <c r="F4" s="79" t="s">
        <v>14</v>
      </c>
    </row>
    <row r="5" spans="1:37" ht="15" customHeight="1" x14ac:dyDescent="0.55000000000000004">
      <c r="A5" s="89" t="s">
        <v>15</v>
      </c>
      <c r="B5" s="71" t="s">
        <v>16</v>
      </c>
      <c r="C5" s="78" t="s">
        <v>17</v>
      </c>
      <c r="D5" s="90"/>
      <c r="E5" s="90"/>
      <c r="F5" s="90"/>
    </row>
    <row r="6" spans="1:37" ht="15" customHeight="1" x14ac:dyDescent="0.55000000000000004">
      <c r="A6" s="91" t="s">
        <v>18</v>
      </c>
      <c r="B6" s="70" t="s">
        <v>19</v>
      </c>
      <c r="C6" s="78" t="s">
        <v>17</v>
      </c>
      <c r="D6" s="1"/>
      <c r="E6" s="1"/>
      <c r="F6" s="1"/>
    </row>
    <row r="7" spans="1:37" ht="15" customHeight="1" x14ac:dyDescent="0.55000000000000004">
      <c r="A7" s="91" t="s">
        <v>20</v>
      </c>
      <c r="B7" s="70">
        <v>100</v>
      </c>
      <c r="C7" s="78" t="s">
        <v>21</v>
      </c>
      <c r="D7" s="1"/>
      <c r="E7" s="1"/>
      <c r="F7" s="1"/>
    </row>
    <row r="8" spans="1:37" ht="15" customHeight="1" x14ac:dyDescent="0.55000000000000004">
      <c r="A8" s="88" t="str">
        <f>IF(B7=0,"Motor Phase Inductance [Ls]","-")</f>
        <v>-</v>
      </c>
      <c r="B8" s="70"/>
      <c r="C8" s="78" t="str">
        <f>IF(B7=0,"mH","-")</f>
        <v>-</v>
      </c>
      <c r="D8" s="1"/>
      <c r="E8" s="1"/>
      <c r="F8" s="1"/>
    </row>
    <row r="9" spans="1:37" ht="15" customHeight="1" x14ac:dyDescent="0.55000000000000004">
      <c r="A9" s="88" t="str">
        <f>IF(B7=0,"Motor Phase BEMF constant [Ke_ph(pk)]","-")</f>
        <v>-</v>
      </c>
      <c r="B9" s="70"/>
      <c r="C9" s="78" t="str">
        <f>IF(B7=0,"V/Hz","-")</f>
        <v>-</v>
      </c>
      <c r="D9" s="1"/>
      <c r="E9" s="1"/>
      <c r="F9" s="1"/>
    </row>
    <row r="10" spans="1:37" ht="15" customHeight="1" x14ac:dyDescent="0.55000000000000004">
      <c r="A10" s="88" t="s">
        <v>22</v>
      </c>
      <c r="B10" s="70">
        <v>133</v>
      </c>
      <c r="C10" s="77" t="s">
        <v>23</v>
      </c>
      <c r="D10" s="1"/>
      <c r="E10" s="1"/>
      <c r="F10" s="1"/>
    </row>
    <row r="11" spans="1:37" ht="15" customHeight="1" x14ac:dyDescent="0.55000000000000004">
      <c r="A11" s="86" t="s">
        <v>201</v>
      </c>
      <c r="B11" s="27">
        <v>100</v>
      </c>
      <c r="C11" s="78" t="s">
        <v>25</v>
      </c>
      <c r="D11" s="6"/>
      <c r="E11" s="6"/>
      <c r="F11" s="1"/>
    </row>
    <row r="12" spans="1:37" ht="15" customHeight="1" x14ac:dyDescent="0.55000000000000004">
      <c r="A12" s="92" t="s">
        <v>26</v>
      </c>
      <c r="B12" s="71">
        <v>50</v>
      </c>
      <c r="C12" s="78" t="s">
        <v>27</v>
      </c>
      <c r="D12" s="6"/>
      <c r="E12" s="6"/>
      <c r="F12" s="1"/>
    </row>
    <row r="13" spans="1:37" ht="15" customHeight="1" x14ac:dyDescent="0.55000000000000004">
      <c r="A13" s="93" t="s">
        <v>194</v>
      </c>
      <c r="B13" s="27">
        <v>5</v>
      </c>
      <c r="C13" s="78" t="s">
        <v>29</v>
      </c>
      <c r="D13" s="6"/>
      <c r="E13" s="6"/>
      <c r="F13" s="1"/>
    </row>
    <row r="14" spans="1:37" ht="15" customHeight="1" x14ac:dyDescent="0.55000000000000004">
      <c r="A14" s="93" t="s">
        <v>28</v>
      </c>
      <c r="B14" s="169">
        <v>5</v>
      </c>
      <c r="C14" s="78" t="s">
        <v>29</v>
      </c>
      <c r="D14" s="6"/>
      <c r="E14" s="6"/>
      <c r="F14" s="1"/>
      <c r="AH14"/>
      <c r="AI14"/>
      <c r="AJ14"/>
      <c r="AK14"/>
    </row>
    <row r="15" spans="1:37" ht="15" customHeight="1" thickBot="1" x14ac:dyDescent="0.6">
      <c r="A15" s="94" t="s">
        <v>30</v>
      </c>
      <c r="B15" s="73">
        <v>25</v>
      </c>
      <c r="C15" s="79" t="s">
        <v>14</v>
      </c>
      <c r="D15" s="6"/>
      <c r="E15" s="6"/>
      <c r="F15" s="1"/>
      <c r="AH15"/>
      <c r="AI15"/>
      <c r="AJ15"/>
      <c r="AK15"/>
    </row>
    <row r="16" spans="1:37" ht="15" customHeight="1" thickBot="1" x14ac:dyDescent="0.6">
      <c r="A16" s="95" t="s">
        <v>31</v>
      </c>
      <c r="B16" s="74"/>
      <c r="C16" s="80"/>
      <c r="D16" s="6"/>
      <c r="E16" s="6"/>
      <c r="F16" s="1"/>
      <c r="AH16"/>
      <c r="AI16"/>
      <c r="AJ16"/>
      <c r="AK16"/>
    </row>
    <row r="17" spans="1:151" ht="15" customHeight="1" x14ac:dyDescent="0.55000000000000004">
      <c r="A17" s="96" t="s">
        <v>32</v>
      </c>
      <c r="B17" s="75">
        <v>2</v>
      </c>
      <c r="C17" s="77" t="s">
        <v>33</v>
      </c>
      <c r="D17" s="6"/>
      <c r="E17" s="6"/>
      <c r="F17" s="1"/>
      <c r="AH17"/>
      <c r="AI17"/>
      <c r="AJ17"/>
      <c r="AK17"/>
    </row>
    <row r="18" spans="1:151" ht="29.2" customHeight="1" x14ac:dyDescent="0.55000000000000004">
      <c r="A18" s="92" t="s">
        <v>34</v>
      </c>
      <c r="B18" s="71">
        <v>1</v>
      </c>
      <c r="C18" s="81" t="s">
        <v>35</v>
      </c>
      <c r="D18" s="6"/>
      <c r="E18" s="6"/>
      <c r="F18" s="1"/>
      <c r="AH18"/>
      <c r="AI18"/>
      <c r="AJ18"/>
      <c r="AK18"/>
    </row>
    <row r="19" spans="1:151" ht="28.45" customHeight="1" thickBot="1" x14ac:dyDescent="0.6">
      <c r="A19" s="94" t="s">
        <v>36</v>
      </c>
      <c r="B19" s="76">
        <v>4</v>
      </c>
      <c r="C19" s="82" t="s">
        <v>37</v>
      </c>
      <c r="D19" s="6"/>
      <c r="E19" s="6"/>
      <c r="F19" s="1"/>
      <c r="AH19"/>
      <c r="AI19"/>
      <c r="AJ19"/>
      <c r="AK19"/>
    </row>
    <row r="20" spans="1:151" ht="28.45" customHeight="1" thickBot="1" x14ac:dyDescent="0.6">
      <c r="A20" s="194" t="s">
        <v>202</v>
      </c>
      <c r="B20" s="195"/>
      <c r="C20" s="196"/>
      <c r="D20" s="6"/>
      <c r="E20" s="6"/>
      <c r="F20" s="1"/>
      <c r="G20" s="1"/>
      <c r="AH20"/>
      <c r="AI20"/>
      <c r="AJ20"/>
      <c r="AK20"/>
      <c r="AO20" s="10"/>
    </row>
    <row r="21" spans="1:151" s="1" customFormat="1" ht="32.200000000000003" customHeight="1" x14ac:dyDescent="0.55000000000000004"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 s="11"/>
      <c r="EU21"/>
    </row>
    <row r="22" spans="1:151" ht="22.5" customHeight="1" x14ac:dyDescent="0.55000000000000004">
      <c r="A22" s="170"/>
      <c r="B22" s="170"/>
      <c r="AH22"/>
      <c r="AI22"/>
      <c r="AJ22"/>
      <c r="AK22"/>
    </row>
    <row r="23" spans="1:151" ht="14.7" thickBot="1" x14ac:dyDescent="0.6">
      <c r="AA23" s="51" t="s">
        <v>39</v>
      </c>
      <c r="AB23" s="51" t="s">
        <v>6</v>
      </c>
      <c r="AC23" s="51" t="s">
        <v>4</v>
      </c>
      <c r="AH23"/>
      <c r="AI23"/>
      <c r="AJ23"/>
      <c r="AK23"/>
      <c r="AL23" s="10"/>
      <c r="AM23" s="10"/>
    </row>
    <row r="24" spans="1:151" ht="14.7" thickBot="1" x14ac:dyDescent="0.6">
      <c r="K24" s="6" t="s">
        <v>32</v>
      </c>
      <c r="L24" s="6" t="s">
        <v>40</v>
      </c>
      <c r="M24" s="6" t="s">
        <v>41</v>
      </c>
      <c r="N24" s="6" t="s">
        <v>36</v>
      </c>
      <c r="O24" s="6" t="s">
        <v>42</v>
      </c>
      <c r="P24" s="6" t="s">
        <v>43</v>
      </c>
      <c r="Q24" s="6" t="s">
        <v>44</v>
      </c>
      <c r="R24" s="6" t="s">
        <v>45</v>
      </c>
      <c r="S24" s="8" t="s">
        <v>46</v>
      </c>
      <c r="T24" s="8"/>
      <c r="V24" s="165" t="s">
        <v>47</v>
      </c>
      <c r="W24" s="166"/>
      <c r="X24" s="166"/>
      <c r="Y24" s="167"/>
      <c r="AA24" s="25" t="s">
        <v>48</v>
      </c>
      <c r="AB24" s="3">
        <v>1.4829000000000001</v>
      </c>
      <c r="AC24" s="3" t="s">
        <v>12</v>
      </c>
      <c r="AG24" s="158" t="s">
        <v>49</v>
      </c>
      <c r="AH24" s="66"/>
      <c r="AI24" s="158" t="s">
        <v>50</v>
      </c>
      <c r="AJ24" s="66"/>
      <c r="AK24" s="158" t="s">
        <v>51</v>
      </c>
      <c r="AL24" s="66"/>
      <c r="AM24" s="10"/>
    </row>
    <row r="25" spans="1:151" ht="14.7" thickBot="1" x14ac:dyDescent="0.6">
      <c r="K25" s="6">
        <v>2</v>
      </c>
      <c r="L25" s="6">
        <v>1</v>
      </c>
      <c r="M25" s="6">
        <v>1</v>
      </c>
      <c r="N25" s="26">
        <v>4</v>
      </c>
      <c r="O25" s="6">
        <v>50</v>
      </c>
      <c r="P25" s="6">
        <v>0.25</v>
      </c>
      <c r="Q25" s="6">
        <v>10</v>
      </c>
      <c r="R25" s="6" t="s">
        <v>52</v>
      </c>
      <c r="S25" s="8" t="s">
        <v>19</v>
      </c>
      <c r="T25" s="8"/>
      <c r="V25" s="17" t="s">
        <v>53</v>
      </c>
      <c r="W25" s="18" t="s">
        <v>54</v>
      </c>
      <c r="X25" s="18" t="s">
        <v>55</v>
      </c>
      <c r="Y25" s="19" t="s">
        <v>56</v>
      </c>
      <c r="AA25" s="25" t="s">
        <v>57</v>
      </c>
      <c r="AB25" s="3">
        <v>0.99</v>
      </c>
      <c r="AC25" s="3"/>
      <c r="AG25" s="29" t="s">
        <v>58</v>
      </c>
      <c r="AH25">
        <f>$AB$28+($AE$30*(B15-25))</f>
        <v>200</v>
      </c>
      <c r="AI25" s="29" t="s">
        <v>59</v>
      </c>
      <c r="AJ25">
        <f>$AB$28+($AE$30*(AH28-25))</f>
        <v>544.35335377450974</v>
      </c>
      <c r="AK25" s="29" t="s">
        <v>60</v>
      </c>
      <c r="AL25" s="57">
        <f>$AB$28+($AE$30*(AJ28-25))</f>
        <v>958.95823377450972</v>
      </c>
      <c r="AM25" s="58"/>
    </row>
    <row r="26" spans="1:151" ht="29.1" thickBot="1" x14ac:dyDescent="0.6">
      <c r="K26" s="6">
        <v>4</v>
      </c>
      <c r="L26" s="6">
        <v>2</v>
      </c>
      <c r="M26" s="6">
        <v>2</v>
      </c>
      <c r="N26" s="26">
        <v>8</v>
      </c>
      <c r="O26" s="6">
        <v>250</v>
      </c>
      <c r="P26" s="6">
        <v>0.1</v>
      </c>
      <c r="Q26" s="6">
        <v>15</v>
      </c>
      <c r="R26" s="6" t="s">
        <v>16</v>
      </c>
      <c r="S26" s="8" t="s">
        <v>61</v>
      </c>
      <c r="T26" s="8"/>
      <c r="V26" s="14">
        <f>B18</f>
        <v>1</v>
      </c>
      <c r="W26" s="12" t="str">
        <f>IF(B17&gt;2,AB32,"")</f>
        <v/>
      </c>
      <c r="X26" s="12" t="str">
        <f>IF(B17&gt;2,AB32,"")</f>
        <v/>
      </c>
      <c r="Y26" s="15">
        <f>B18</f>
        <v>1</v>
      </c>
      <c r="AA26" s="25" t="s">
        <v>134</v>
      </c>
      <c r="AB26" s="3">
        <v>7</v>
      </c>
      <c r="AC26" s="3" t="s">
        <v>29</v>
      </c>
      <c r="AD26" t="s">
        <v>135</v>
      </c>
      <c r="AG26" s="30" t="s">
        <v>63</v>
      </c>
      <c r="AH26" s="9">
        <f>ROUND(3*$B$4*$B$4*AH25/(1000),3)</f>
        <v>2.4</v>
      </c>
      <c r="AI26" s="30" t="s">
        <v>64</v>
      </c>
      <c r="AJ26" s="9">
        <f>ROUND(3*$B$4*$B$4*AJ25/(1000),3)</f>
        <v>6.532</v>
      </c>
      <c r="AK26" s="30" t="s">
        <v>65</v>
      </c>
      <c r="AL26" s="9">
        <f>ROUND(3*$B$4*$B$4*AL25/(1000),3)</f>
        <v>11.507</v>
      </c>
      <c r="AM26" s="10"/>
    </row>
    <row r="27" spans="1:151" ht="29.1" hidden="1" thickBot="1" x14ac:dyDescent="0.6">
      <c r="A27" s="3"/>
      <c r="K27" s="6"/>
      <c r="L27" s="6">
        <v>3</v>
      </c>
      <c r="M27" s="6"/>
      <c r="N27" s="26">
        <v>16</v>
      </c>
      <c r="O27" s="6">
        <v>500</v>
      </c>
      <c r="P27" s="6">
        <v>0.1</v>
      </c>
      <c r="Q27" s="6">
        <v>20</v>
      </c>
      <c r="R27" s="6"/>
      <c r="S27" s="8"/>
      <c r="T27" s="8"/>
      <c r="U27" s="8"/>
      <c r="V27" s="159" t="s">
        <v>66</v>
      </c>
      <c r="W27" s="160"/>
      <c r="X27" s="161"/>
      <c r="Y27" s="33" t="s">
        <v>67</v>
      </c>
      <c r="AA27" s="25" t="s">
        <v>136</v>
      </c>
      <c r="AB27" s="45">
        <v>7</v>
      </c>
      <c r="AC27" s="3" t="s">
        <v>29</v>
      </c>
      <c r="AD27" t="s">
        <v>137</v>
      </c>
      <c r="AG27" s="30" t="s">
        <v>70</v>
      </c>
      <c r="AH27" s="9">
        <f>AH26+$AE$31</f>
        <v>3.431865196078431</v>
      </c>
      <c r="AI27" s="30" t="s">
        <v>71</v>
      </c>
      <c r="AJ27" s="9">
        <f>AJ26+$AE$31</f>
        <v>7.5638651960784316</v>
      </c>
      <c r="AK27" s="31" t="s">
        <v>72</v>
      </c>
      <c r="AL27" s="32">
        <f>AL26+$AE$31</f>
        <v>12.538865196078431</v>
      </c>
      <c r="AM27" s="10"/>
    </row>
    <row r="28" spans="1:151" ht="14.7" hidden="1" thickBot="1" x14ac:dyDescent="0.6">
      <c r="A28" s="3"/>
      <c r="K28" s="6"/>
      <c r="L28" s="6"/>
      <c r="M28" s="6"/>
      <c r="N28" s="26">
        <v>32</v>
      </c>
      <c r="O28" s="6">
        <v>1100</v>
      </c>
      <c r="P28" s="6">
        <v>6.5000000000000002E-2</v>
      </c>
      <c r="Q28" s="6">
        <v>25</v>
      </c>
      <c r="R28" s="6"/>
      <c r="S28" s="8"/>
      <c r="T28" s="8"/>
      <c r="U28" s="8"/>
      <c r="V28" s="20" t="s">
        <v>73</v>
      </c>
      <c r="W28" s="21" t="s">
        <v>74</v>
      </c>
      <c r="X28" s="21" t="s">
        <v>75</v>
      </c>
      <c r="Y28" s="34" t="s">
        <v>76</v>
      </c>
      <c r="AA28" s="25" t="s">
        <v>77</v>
      </c>
      <c r="AB28" s="3">
        <v>200</v>
      </c>
      <c r="AC28" s="3" t="s">
        <v>78</v>
      </c>
      <c r="AG28" s="30" t="s">
        <v>79</v>
      </c>
      <c r="AH28" s="9">
        <f>$B$15+(AH27*$AB$33)</f>
        <v>321.85633946078428</v>
      </c>
      <c r="AI28" s="30" t="s">
        <v>80</v>
      </c>
      <c r="AJ28" s="9">
        <f>$B$15+(AJ27*$AB$33)</f>
        <v>679.27433946078429</v>
      </c>
      <c r="AK28" s="31" t="s">
        <v>81</v>
      </c>
      <c r="AL28" s="32">
        <f>$B$15+(AL27*$AB$33)</f>
        <v>1109.6118394607843</v>
      </c>
      <c r="AM28" s="10"/>
    </row>
    <row r="29" spans="1:151" hidden="1" x14ac:dyDescent="0.55000000000000004">
      <c r="A29" s="3"/>
      <c r="K29" s="6"/>
      <c r="L29" s="6"/>
      <c r="M29" s="6"/>
      <c r="N29" s="26">
        <v>64</v>
      </c>
      <c r="O29" s="6"/>
      <c r="P29" s="6"/>
      <c r="Q29" s="6">
        <v>30</v>
      </c>
      <c r="R29" s="6"/>
      <c r="S29" s="8"/>
      <c r="T29" s="8"/>
      <c r="U29" s="8"/>
      <c r="V29" s="14" t="str">
        <f>_xlfn.TEXTJOIN(",",TRUE,V26:Y26)</f>
        <v>1,1</v>
      </c>
      <c r="W29" s="12">
        <f>B19</f>
        <v>4</v>
      </c>
      <c r="X29" s="12"/>
      <c r="Y29" s="15">
        <f>VLOOKUP(W29&amp;V29,U32:X56,4,FALSE)</f>
        <v>86.5</v>
      </c>
      <c r="AA29" s="28" t="s">
        <v>138</v>
      </c>
      <c r="AB29" s="8">
        <f>690/2</f>
        <v>345</v>
      </c>
      <c r="AC29" s="8" t="s">
        <v>78</v>
      </c>
      <c r="AH29"/>
      <c r="AI29"/>
      <c r="AJ29"/>
      <c r="AK29"/>
      <c r="AL29" s="10"/>
      <c r="AM29" s="10"/>
    </row>
    <row r="30" spans="1:151" hidden="1" x14ac:dyDescent="0.55000000000000004">
      <c r="A30" s="24"/>
      <c r="B30" s="24"/>
      <c r="C30" s="24"/>
      <c r="K30" s="5"/>
      <c r="L30" s="5"/>
      <c r="Q30" s="6">
        <v>35</v>
      </c>
      <c r="V30" s="162" t="s">
        <v>83</v>
      </c>
      <c r="W30" s="163"/>
      <c r="X30" s="163"/>
      <c r="Y30" s="164"/>
      <c r="AA30" s="25" t="s">
        <v>30</v>
      </c>
      <c r="AB30" s="3">
        <v>25</v>
      </c>
      <c r="AC30" s="3" t="s">
        <v>84</v>
      </c>
      <c r="AD30" t="s">
        <v>85</v>
      </c>
      <c r="AE30" s="43">
        <f>(AB29-AB28)/(150-25)</f>
        <v>1.1599999999999999</v>
      </c>
      <c r="AH30"/>
      <c r="AI30"/>
      <c r="AJ30"/>
      <c r="AK30"/>
      <c r="AL30" s="10"/>
      <c r="AM30" s="10"/>
    </row>
    <row r="31" spans="1:151" ht="86.4" hidden="1" x14ac:dyDescent="0.55000000000000004">
      <c r="A31" s="3"/>
      <c r="K31" s="5"/>
      <c r="L31" s="5"/>
      <c r="Q31" s="6">
        <v>40</v>
      </c>
      <c r="U31" s="4" t="s">
        <v>86</v>
      </c>
      <c r="V31" s="102" t="s">
        <v>87</v>
      </c>
      <c r="W31" s="103" t="s">
        <v>73</v>
      </c>
      <c r="X31" s="104" t="s">
        <v>88</v>
      </c>
      <c r="Y31" s="22"/>
      <c r="AA31" s="25" t="s">
        <v>89</v>
      </c>
      <c r="AB31" s="3">
        <v>1.25</v>
      </c>
      <c r="AC31" s="3" t="s">
        <v>90</v>
      </c>
      <c r="AD31" s="27" t="s">
        <v>91</v>
      </c>
      <c r="AE31" s="35">
        <f>AB42+AB46+AB47+AB49+AB50+AB51+AB59</f>
        <v>1.0318651960784313</v>
      </c>
      <c r="AH31"/>
      <c r="AI31"/>
      <c r="AJ31"/>
      <c r="AK31"/>
      <c r="AL31" s="10"/>
      <c r="AM31" s="10"/>
    </row>
    <row r="32" spans="1:151" hidden="1" x14ac:dyDescent="0.55000000000000004">
      <c r="A32" s="23"/>
      <c r="K32" s="5"/>
      <c r="L32" s="5"/>
      <c r="Q32" s="6">
        <v>45</v>
      </c>
      <c r="U32" s="4" t="str">
        <f t="shared" ref="U32:U56" si="0">V32&amp;W32</f>
        <v>41,1</v>
      </c>
      <c r="V32" s="14">
        <v>4</v>
      </c>
      <c r="W32" s="12" t="s">
        <v>92</v>
      </c>
      <c r="X32" s="99">
        <v>86.5</v>
      </c>
      <c r="Y32" s="13"/>
      <c r="AA32" s="25" t="str">
        <f>IF(B17&gt;2,"Internal Layers Cu Thickness","")</f>
        <v/>
      </c>
      <c r="AB32" s="3">
        <v>1</v>
      </c>
      <c r="AC32" s="3" t="str">
        <f>IF(B17&gt;2,"oz","")</f>
        <v/>
      </c>
      <c r="AH32"/>
      <c r="AI32"/>
      <c r="AJ32"/>
      <c r="AK32"/>
      <c r="AL32" s="10"/>
      <c r="AM32" s="10"/>
    </row>
    <row r="33" spans="1:151" hidden="1" x14ac:dyDescent="0.55000000000000004">
      <c r="A33" s="3"/>
      <c r="K33" s="5"/>
      <c r="L33" s="5"/>
      <c r="Q33" s="6">
        <v>50</v>
      </c>
      <c r="U33" s="4" t="str">
        <f t="shared" si="0"/>
        <v>42,2</v>
      </c>
      <c r="V33" s="14">
        <v>4</v>
      </c>
      <c r="W33" s="12" t="s">
        <v>93</v>
      </c>
      <c r="X33" s="100">
        <v>80.099999999999994</v>
      </c>
      <c r="Y33" s="15"/>
      <c r="AA33" s="25" t="s">
        <v>94</v>
      </c>
      <c r="AB33" s="3">
        <f>Y29</f>
        <v>86.5</v>
      </c>
      <c r="AC33" s="3" t="s">
        <v>95</v>
      </c>
      <c r="AH33"/>
      <c r="AI33"/>
      <c r="AJ33"/>
      <c r="AK33"/>
      <c r="AL33" s="10"/>
      <c r="AM33" s="10"/>
      <c r="EU33" s="1"/>
    </row>
    <row r="34" spans="1:151" hidden="1" x14ac:dyDescent="0.55000000000000004">
      <c r="A34" s="3"/>
      <c r="G34" s="1"/>
      <c r="K34" s="5"/>
      <c r="L34" s="5"/>
      <c r="Q34" s="6">
        <v>55</v>
      </c>
      <c r="U34" s="4" t="str">
        <f t="shared" si="0"/>
        <v>41,1,1,1</v>
      </c>
      <c r="V34" s="14">
        <v>4</v>
      </c>
      <c r="W34" s="12" t="s">
        <v>96</v>
      </c>
      <c r="X34" s="99">
        <v>71.900000000000006</v>
      </c>
      <c r="Y34" s="15"/>
      <c r="AA34" s="51" t="s">
        <v>39</v>
      </c>
      <c r="AB34" s="51" t="s">
        <v>6</v>
      </c>
      <c r="AC34" s="51" t="s">
        <v>4</v>
      </c>
      <c r="AH34"/>
      <c r="AI34"/>
      <c r="AJ34"/>
      <c r="AK34"/>
      <c r="AL34" s="10"/>
      <c r="AM34" s="10"/>
    </row>
    <row r="35" spans="1:151" s="1" customFormat="1" hidden="1" x14ac:dyDescent="0.55000000000000004">
      <c r="D35" s="6"/>
      <c r="E35" s="6"/>
      <c r="G35"/>
      <c r="H35"/>
      <c r="I35"/>
      <c r="J35"/>
      <c r="K35" s="5"/>
      <c r="L35" s="5"/>
      <c r="M35"/>
      <c r="N35"/>
      <c r="O35"/>
      <c r="P35"/>
      <c r="Q35" s="6">
        <v>60</v>
      </c>
      <c r="R35"/>
      <c r="S35"/>
      <c r="T35"/>
      <c r="U35" s="4" t="str">
        <f t="shared" si="0"/>
        <v>42,1,1,2</v>
      </c>
      <c r="V35" s="14">
        <v>4</v>
      </c>
      <c r="W35" s="12" t="s">
        <v>97</v>
      </c>
      <c r="X35" s="99">
        <v>69.900000000000006</v>
      </c>
      <c r="Y35" s="15"/>
      <c r="Z35"/>
      <c r="AA35" s="25" t="s">
        <v>98</v>
      </c>
      <c r="AB35" s="3">
        <f>ROUND((B3/SQRT(3))*AB25,2)</f>
        <v>6.86</v>
      </c>
      <c r="AC35" s="3" t="s">
        <v>8</v>
      </c>
      <c r="AD35"/>
      <c r="AE35"/>
      <c r="AF35"/>
      <c r="AG35"/>
      <c r="AH35"/>
      <c r="AI35"/>
      <c r="AJ35"/>
      <c r="AK35"/>
      <c r="AL35" s="10"/>
      <c r="AM35" s="10"/>
      <c r="AN35"/>
      <c r="EU35"/>
    </row>
    <row r="36" spans="1:151" ht="28.8" hidden="1" x14ac:dyDescent="0.55000000000000004">
      <c r="A36" s="3"/>
      <c r="K36" s="5"/>
      <c r="L36" s="5"/>
      <c r="Q36" s="6">
        <v>65</v>
      </c>
      <c r="U36" s="4" t="str">
        <f t="shared" si="0"/>
        <v>81,1</v>
      </c>
      <c r="V36" s="14">
        <v>8</v>
      </c>
      <c r="W36" s="12" t="s">
        <v>92</v>
      </c>
      <c r="X36" s="99">
        <v>69.8</v>
      </c>
      <c r="Y36" s="15"/>
      <c r="AA36" s="25" t="s">
        <v>99</v>
      </c>
      <c r="AB36" s="3">
        <f>ROUND(AB35/1.41,2)</f>
        <v>4.87</v>
      </c>
      <c r="AC36" s="3" t="s">
        <v>8</v>
      </c>
      <c r="AF36" s="1"/>
      <c r="AG36" s="1"/>
      <c r="AH36" s="1"/>
      <c r="AI36" s="1"/>
      <c r="AJ36" s="1"/>
      <c r="AK36" s="1"/>
      <c r="AL36" s="11"/>
      <c r="AM36" s="11"/>
    </row>
    <row r="37" spans="1:151" hidden="1" x14ac:dyDescent="0.55000000000000004">
      <c r="A37" s="3"/>
      <c r="K37" s="5"/>
      <c r="L37" s="5"/>
      <c r="Q37" s="6">
        <v>70</v>
      </c>
      <c r="U37" s="4" t="str">
        <f t="shared" si="0"/>
        <v>82,2</v>
      </c>
      <c r="V37" s="14">
        <v>8</v>
      </c>
      <c r="W37" s="12" t="s">
        <v>93</v>
      </c>
      <c r="X37" s="100">
        <v>62.1</v>
      </c>
      <c r="Y37" s="15"/>
      <c r="AA37" s="25"/>
      <c r="AB37" s="3"/>
      <c r="AC37" s="3"/>
      <c r="AH37"/>
      <c r="AI37"/>
      <c r="AJ37"/>
      <c r="AK37"/>
      <c r="AL37" s="10"/>
      <c r="AM37" s="10"/>
    </row>
    <row r="38" spans="1:151" hidden="1" x14ac:dyDescent="0.55000000000000004">
      <c r="A38" s="3"/>
      <c r="K38" s="5"/>
      <c r="L38" s="5"/>
      <c r="Q38" s="6">
        <v>75</v>
      </c>
      <c r="U38" s="4" t="str">
        <f t="shared" si="0"/>
        <v>81,1,1,1</v>
      </c>
      <c r="V38" s="14">
        <v>8</v>
      </c>
      <c r="W38" s="12" t="s">
        <v>96</v>
      </c>
      <c r="X38" s="99">
        <v>54.7</v>
      </c>
      <c r="Y38" s="15"/>
      <c r="AA38" s="25" t="s">
        <v>100</v>
      </c>
      <c r="AB38" s="3">
        <f>B4/0.816</f>
        <v>2.4509803921568629</v>
      </c>
      <c r="AC38" s="3" t="s">
        <v>12</v>
      </c>
      <c r="AH38"/>
      <c r="AI38"/>
      <c r="AJ38"/>
      <c r="AK38"/>
      <c r="AL38" s="10"/>
      <c r="AM38" s="10"/>
    </row>
    <row r="39" spans="1:151" hidden="1" x14ac:dyDescent="0.55000000000000004">
      <c r="A39" s="3"/>
      <c r="K39" s="5"/>
      <c r="L39" s="5"/>
      <c r="Q39" s="6">
        <v>80</v>
      </c>
      <c r="U39" s="4" t="str">
        <f t="shared" si="0"/>
        <v>82,1,1,2</v>
      </c>
      <c r="V39" s="14">
        <v>8</v>
      </c>
      <c r="W39" s="12" t="s">
        <v>97</v>
      </c>
      <c r="X39" s="99">
        <v>52.3</v>
      </c>
      <c r="Y39" s="15"/>
      <c r="AA39" s="28" t="s">
        <v>101</v>
      </c>
      <c r="AB39" s="8">
        <f>B3/B12</f>
        <v>0.24</v>
      </c>
      <c r="AC39" s="8" t="s">
        <v>21</v>
      </c>
      <c r="AH39"/>
      <c r="AI39"/>
      <c r="AJ39"/>
      <c r="AK39"/>
      <c r="AL39" s="10"/>
      <c r="AM39" s="10"/>
    </row>
    <row r="40" spans="1:151" ht="43.2" hidden="1" x14ac:dyDescent="0.55000000000000004">
      <c r="A40" s="3"/>
      <c r="K40" s="5"/>
      <c r="L40" s="5"/>
      <c r="Q40" s="6">
        <v>85</v>
      </c>
      <c r="U40" s="4" t="str">
        <f t="shared" si="0"/>
        <v>161,1</v>
      </c>
      <c r="V40" s="14">
        <v>16</v>
      </c>
      <c r="W40" s="12" t="s">
        <v>92</v>
      </c>
      <c r="X40" s="99">
        <v>60.1</v>
      </c>
      <c r="Y40" s="15"/>
      <c r="AA40" s="28" t="s">
        <v>102</v>
      </c>
      <c r="AB40" s="8">
        <f>VLOOKUP(B12,O25:P28,2,FALSE)</f>
        <v>0.25</v>
      </c>
      <c r="AC40" s="8" t="s">
        <v>21</v>
      </c>
      <c r="AH40"/>
      <c r="AI40"/>
      <c r="AJ40"/>
      <c r="AK40"/>
      <c r="AL40" s="10"/>
      <c r="AM40" s="10"/>
    </row>
    <row r="41" spans="1:151" hidden="1" x14ac:dyDescent="0.55000000000000004">
      <c r="A41" s="3"/>
      <c r="K41" s="5"/>
      <c r="L41" s="5"/>
      <c r="Q41" s="6">
        <v>90</v>
      </c>
      <c r="U41" s="4" t="str">
        <f t="shared" si="0"/>
        <v>162,2</v>
      </c>
      <c r="V41" s="14">
        <v>16</v>
      </c>
      <c r="W41" s="12" t="s">
        <v>93</v>
      </c>
      <c r="X41" s="100">
        <v>51.1</v>
      </c>
      <c r="Y41" s="16"/>
      <c r="AA41" s="47" t="s">
        <v>103</v>
      </c>
      <c r="AB41" s="24" t="s">
        <v>6</v>
      </c>
      <c r="AC41" s="24" t="s">
        <v>4</v>
      </c>
      <c r="AH41"/>
      <c r="AI41"/>
      <c r="AJ41"/>
      <c r="AK41"/>
      <c r="AL41" s="10"/>
      <c r="AM41" s="10"/>
    </row>
    <row r="42" spans="1:151" hidden="1" x14ac:dyDescent="0.55000000000000004">
      <c r="A42" s="3"/>
      <c r="K42" s="5"/>
      <c r="L42" s="5"/>
      <c r="Q42" s="6">
        <v>95</v>
      </c>
      <c r="U42" s="4" t="str">
        <f t="shared" si="0"/>
        <v>161,1,1,1</v>
      </c>
      <c r="V42" s="14">
        <v>16</v>
      </c>
      <c r="W42" s="12" t="s">
        <v>96</v>
      </c>
      <c r="X42" s="99">
        <v>44</v>
      </c>
      <c r="Y42" s="15"/>
      <c r="AA42" s="25" t="s">
        <v>104</v>
      </c>
      <c r="AB42" s="46">
        <f>B3*IF(B3&gt;6.01,AB27,AB26)/1000</f>
        <v>8.4000000000000005E-2</v>
      </c>
      <c r="AC42" s="3"/>
      <c r="AH42"/>
      <c r="AI42"/>
      <c r="AJ42"/>
      <c r="AK42"/>
      <c r="AL42" s="10"/>
      <c r="AM42" s="10"/>
    </row>
    <row r="43" spans="1:151" hidden="1" x14ac:dyDescent="0.55000000000000004">
      <c r="A43" s="3"/>
      <c r="K43" s="5"/>
      <c r="L43" s="5"/>
      <c r="Q43" s="6">
        <v>100</v>
      </c>
      <c r="U43" s="4" t="str">
        <f t="shared" si="0"/>
        <v>162,1,1,2</v>
      </c>
      <c r="V43" s="14">
        <v>16</v>
      </c>
      <c r="W43" s="12" t="s">
        <v>97</v>
      </c>
      <c r="X43" s="99">
        <v>41.3</v>
      </c>
      <c r="Y43" s="15"/>
      <c r="AA43" s="25"/>
      <c r="AB43" s="3"/>
      <c r="AC43" s="3"/>
      <c r="AH43"/>
      <c r="AI43"/>
      <c r="AJ43"/>
      <c r="AK43"/>
      <c r="AL43" s="10"/>
      <c r="AM43" s="10"/>
    </row>
    <row r="44" spans="1:151" hidden="1" x14ac:dyDescent="0.55000000000000004">
      <c r="A44" s="3"/>
      <c r="K44" s="5"/>
      <c r="L44" s="5"/>
      <c r="Q44" s="6"/>
      <c r="U44" s="4" t="str">
        <f t="shared" si="0"/>
        <v>321,1</v>
      </c>
      <c r="V44" s="14">
        <v>32</v>
      </c>
      <c r="W44" s="12" t="s">
        <v>92</v>
      </c>
      <c r="X44" s="99">
        <v>54.9</v>
      </c>
      <c r="Y44" s="15"/>
      <c r="AA44" s="47" t="s">
        <v>105</v>
      </c>
      <c r="AB44" s="24" t="s">
        <v>6</v>
      </c>
      <c r="AC44" s="24" t="s">
        <v>4</v>
      </c>
      <c r="AH44"/>
      <c r="AI44"/>
      <c r="AJ44"/>
      <c r="AK44"/>
      <c r="AL44" s="10"/>
      <c r="AM44" s="10"/>
    </row>
    <row r="45" spans="1:151" hidden="1" x14ac:dyDescent="0.55000000000000004">
      <c r="A45" s="3"/>
      <c r="K45" s="5"/>
      <c r="L45" s="5"/>
      <c r="Q45" s="6"/>
      <c r="U45" s="4" t="str">
        <f t="shared" si="0"/>
        <v>322,2</v>
      </c>
      <c r="V45" s="14">
        <v>32</v>
      </c>
      <c r="W45" s="12" t="s">
        <v>93</v>
      </c>
      <c r="X45" s="100">
        <v>44.8</v>
      </c>
      <c r="Y45" s="15"/>
      <c r="AA45" s="48" t="s">
        <v>106</v>
      </c>
      <c r="AB45" s="45">
        <f>ROUND(2*AB38*AB38*AL25/(1000),3)</f>
        <v>11.522</v>
      </c>
      <c r="AC45" s="3" t="s">
        <v>10</v>
      </c>
      <c r="AD45" s="44" t="s">
        <v>107</v>
      </c>
      <c r="AH45"/>
      <c r="AI45"/>
      <c r="AJ45"/>
      <c r="AK45"/>
      <c r="AL45" s="10"/>
      <c r="AM45" s="10"/>
    </row>
    <row r="46" spans="1:151" hidden="1" x14ac:dyDescent="0.55000000000000004">
      <c r="A46" s="3"/>
      <c r="K46" s="5"/>
      <c r="L46" s="5"/>
      <c r="Q46" s="6"/>
      <c r="U46" s="4" t="str">
        <f t="shared" si="0"/>
        <v>321,1,1,1</v>
      </c>
      <c r="V46" s="14">
        <v>32</v>
      </c>
      <c r="W46" s="12" t="s">
        <v>96</v>
      </c>
      <c r="X46" s="99">
        <v>37.5</v>
      </c>
      <c r="Y46" s="15"/>
      <c r="AA46" s="48" t="s">
        <v>108</v>
      </c>
      <c r="AB46" s="46">
        <f>ROUND(B3*AB38*AB39/1000000*B11*1000,3)</f>
        <v>0.70599999999999996</v>
      </c>
      <c r="AC46" s="3" t="s">
        <v>10</v>
      </c>
      <c r="AD46" s="44" t="s">
        <v>109</v>
      </c>
      <c r="AH46"/>
      <c r="AI46"/>
      <c r="AJ46"/>
      <c r="AK46"/>
      <c r="AL46" s="10"/>
      <c r="AM46" s="10"/>
    </row>
    <row r="47" spans="1:151" hidden="1" x14ac:dyDescent="0.55000000000000004">
      <c r="A47" s="3"/>
      <c r="K47" s="5"/>
      <c r="L47" s="5"/>
      <c r="Q47" s="6"/>
      <c r="U47" s="4" t="str">
        <f t="shared" si="0"/>
        <v>322,1,1,2</v>
      </c>
      <c r="V47" s="14">
        <v>32</v>
      </c>
      <c r="W47" s="12" t="s">
        <v>97</v>
      </c>
      <c r="X47" s="99">
        <v>34.700000000000003</v>
      </c>
      <c r="Y47" s="15"/>
      <c r="AA47" s="48" t="s">
        <v>110</v>
      </c>
      <c r="AB47" s="46">
        <f>AB31*5*B11*0.000000001*1000</f>
        <v>6.2500000000000001E-4</v>
      </c>
      <c r="AC47" s="3" t="s">
        <v>10</v>
      </c>
      <c r="AD47" s="43" t="s">
        <v>111</v>
      </c>
      <c r="AH47"/>
      <c r="AI47"/>
      <c r="AJ47"/>
      <c r="AK47"/>
      <c r="AL47" s="10"/>
      <c r="AM47" s="10"/>
    </row>
    <row r="48" spans="1:151" hidden="1" x14ac:dyDescent="0.55000000000000004">
      <c r="A48" s="3"/>
      <c r="K48" s="5"/>
      <c r="L48" s="5"/>
      <c r="Q48" s="6"/>
      <c r="U48" s="4" t="str">
        <f t="shared" si="0"/>
        <v>641,1</v>
      </c>
      <c r="V48" s="14">
        <v>64</v>
      </c>
      <c r="W48" s="12" t="s">
        <v>92</v>
      </c>
      <c r="X48" s="99">
        <v>51.9</v>
      </c>
      <c r="Y48" s="15"/>
      <c r="AA48" s="48" t="s">
        <v>112</v>
      </c>
      <c r="AB48" s="45">
        <f>AB45+AB46+AB47</f>
        <v>12.228624999999999</v>
      </c>
      <c r="AC48" s="3" t="s">
        <v>10</v>
      </c>
      <c r="AH48"/>
      <c r="AI48"/>
      <c r="AJ48"/>
      <c r="AK48"/>
      <c r="AL48" s="10"/>
      <c r="AM48" s="10"/>
    </row>
    <row r="49" spans="1:151" hidden="1" x14ac:dyDescent="0.55000000000000004">
      <c r="A49" s="3"/>
      <c r="K49" s="5"/>
      <c r="L49" s="5"/>
      <c r="Q49" s="6"/>
      <c r="U49" s="4" t="str">
        <f t="shared" si="0"/>
        <v>642,2</v>
      </c>
      <c r="V49" s="14">
        <v>64</v>
      </c>
      <c r="W49" s="12" t="s">
        <v>93</v>
      </c>
      <c r="X49" s="100">
        <v>41</v>
      </c>
      <c r="Y49" s="15"/>
      <c r="AA49" s="49" t="s">
        <v>113</v>
      </c>
      <c r="AB49" s="55">
        <f>2*0.7*AB38*B11*1000*AB40/1000000</f>
        <v>8.5784313725490211E-2</v>
      </c>
      <c r="AC49" s="3" t="s">
        <v>10</v>
      </c>
      <c r="AD49" s="44" t="s">
        <v>114</v>
      </c>
      <c r="AH49"/>
      <c r="AI49"/>
      <c r="AJ49"/>
      <c r="AK49"/>
      <c r="AL49" s="10"/>
      <c r="AM49" s="10"/>
    </row>
    <row r="50" spans="1:151" hidden="1" x14ac:dyDescent="0.55000000000000004">
      <c r="A50" s="3"/>
      <c r="K50" s="5"/>
      <c r="L50" s="5"/>
      <c r="Q50" s="6"/>
      <c r="U50" s="4" t="str">
        <f t="shared" si="0"/>
        <v>641,1,1,1</v>
      </c>
      <c r="V50" s="14">
        <v>64</v>
      </c>
      <c r="W50" s="12" t="s">
        <v>96</v>
      </c>
      <c r="X50" s="99">
        <v>33.5</v>
      </c>
      <c r="Y50" s="15"/>
      <c r="AA50" s="50" t="s">
        <v>193</v>
      </c>
      <c r="AB50" s="55">
        <f>(B3-3.3)*B14*0.001</f>
        <v>4.3500000000000004E-2</v>
      </c>
      <c r="AC50" s="3" t="s">
        <v>10</v>
      </c>
      <c r="AD50" s="43" t="s">
        <v>116</v>
      </c>
      <c r="AH50"/>
      <c r="AI50"/>
      <c r="AJ50"/>
      <c r="AK50"/>
      <c r="AL50" s="10"/>
      <c r="AM50" s="10"/>
    </row>
    <row r="51" spans="1:151" hidden="1" x14ac:dyDescent="0.55000000000000004">
      <c r="A51" s="24"/>
      <c r="B51" s="24"/>
      <c r="C51" s="24"/>
      <c r="F51" s="5"/>
      <c r="K51" s="5"/>
      <c r="L51" s="5"/>
      <c r="Q51" s="6"/>
      <c r="U51" s="4" t="str">
        <f t="shared" si="0"/>
        <v>642,1,1,2</v>
      </c>
      <c r="V51" s="36">
        <v>64</v>
      </c>
      <c r="W51" s="37" t="s">
        <v>97</v>
      </c>
      <c r="X51" s="101">
        <v>30.4</v>
      </c>
      <c r="Y51" s="38"/>
      <c r="AA51" s="50" t="s">
        <v>195</v>
      </c>
      <c r="AB51" s="55">
        <f>(B3-3.3)*B13*0.001</f>
        <v>4.3500000000000004E-2</v>
      </c>
      <c r="AC51" s="3" t="s">
        <v>10</v>
      </c>
      <c r="AD51" s="43" t="s">
        <v>196</v>
      </c>
      <c r="AH51"/>
      <c r="AI51"/>
      <c r="AJ51"/>
      <c r="AK51"/>
      <c r="AL51" s="10"/>
      <c r="AM51" s="10"/>
    </row>
    <row r="52" spans="1:151" hidden="1" x14ac:dyDescent="0.55000000000000004">
      <c r="A52" s="25"/>
      <c r="E52" s="3"/>
      <c r="F52" s="3"/>
      <c r="K52" s="5"/>
      <c r="L52" s="5"/>
      <c r="Q52" s="6"/>
      <c r="U52" s="40" t="str">
        <f t="shared" si="0"/>
        <v>43,1,1,3</v>
      </c>
      <c r="V52" s="39">
        <v>4</v>
      </c>
      <c r="W52" s="12" t="s">
        <v>119</v>
      </c>
      <c r="X52" s="99">
        <v>68.599999999999994</v>
      </c>
      <c r="Y52" s="41"/>
      <c r="AA52" s="25"/>
      <c r="AB52" s="3"/>
      <c r="AC52" s="3"/>
      <c r="AH52"/>
      <c r="AI52"/>
      <c r="AJ52"/>
      <c r="AK52"/>
      <c r="AL52" s="10"/>
      <c r="AM52" s="10"/>
    </row>
    <row r="53" spans="1:151" hidden="1" x14ac:dyDescent="0.55000000000000004">
      <c r="A53" s="3"/>
      <c r="F53" s="5"/>
      <c r="Q53" s="6"/>
      <c r="U53" s="40" t="str">
        <f t="shared" si="0"/>
        <v>83,1,1,3</v>
      </c>
      <c r="V53" s="39">
        <v>8</v>
      </c>
      <c r="W53" s="12" t="s">
        <v>119</v>
      </c>
      <c r="X53" s="99">
        <v>50.9</v>
      </c>
      <c r="Y53" s="41"/>
      <c r="AA53" s="51" t="s">
        <v>39</v>
      </c>
      <c r="AB53" s="51" t="s">
        <v>6</v>
      </c>
      <c r="AC53" s="51" t="s">
        <v>4</v>
      </c>
      <c r="AH53"/>
      <c r="AI53"/>
      <c r="AJ53"/>
      <c r="AK53"/>
      <c r="AL53" s="10"/>
      <c r="AM53" s="10"/>
    </row>
    <row r="54" spans="1:151" hidden="1" x14ac:dyDescent="0.55000000000000004">
      <c r="A54" s="23"/>
      <c r="K54" s="5"/>
      <c r="Q54" s="6"/>
      <c r="U54" s="40" t="str">
        <f t="shared" si="0"/>
        <v>163,1,1,3</v>
      </c>
      <c r="V54" s="39">
        <v>16</v>
      </c>
      <c r="W54" s="12" t="s">
        <v>119</v>
      </c>
      <c r="X54" s="99">
        <v>39.799999999999997</v>
      </c>
      <c r="Y54" s="41"/>
      <c r="AA54" s="4" t="s">
        <v>120</v>
      </c>
      <c r="AH54"/>
      <c r="AI54"/>
      <c r="AJ54"/>
      <c r="AK54"/>
      <c r="AL54" s="10"/>
      <c r="AM54" s="10"/>
      <c r="EU54" s="4"/>
    </row>
    <row r="55" spans="1:151" hidden="1" x14ac:dyDescent="0.55000000000000004">
      <c r="A55" s="24"/>
      <c r="B55" s="24"/>
      <c r="C55" s="24"/>
      <c r="G55" s="4"/>
      <c r="Q55" s="6"/>
      <c r="U55" s="40" t="str">
        <f t="shared" si="0"/>
        <v>323,1,1,3</v>
      </c>
      <c r="V55" s="39">
        <v>32</v>
      </c>
      <c r="W55" s="12" t="s">
        <v>119</v>
      </c>
      <c r="X55" s="99">
        <v>33</v>
      </c>
      <c r="Y55" s="41"/>
      <c r="AA55" s="25" t="s">
        <v>121</v>
      </c>
      <c r="AB55" s="3">
        <f>B9*B10</f>
        <v>0</v>
      </c>
      <c r="AC55" s="3" t="s">
        <v>8</v>
      </c>
      <c r="AD55" s="10"/>
      <c r="AE55" s="10"/>
      <c r="AH55"/>
      <c r="AI55"/>
      <c r="AJ55"/>
      <c r="AK55"/>
      <c r="AL55" s="10"/>
      <c r="AM55" s="10"/>
      <c r="EU55" s="4"/>
    </row>
    <row r="56" spans="1:151" s="4" customFormat="1" ht="43.5" hidden="1" thickBot="1" x14ac:dyDescent="0.6">
      <c r="A56" s="25"/>
      <c r="D56" s="7"/>
      <c r="E56" s="7"/>
      <c r="H56"/>
      <c r="I56"/>
      <c r="J56"/>
      <c r="K56"/>
      <c r="L56"/>
      <c r="M56"/>
      <c r="N56"/>
      <c r="O56"/>
      <c r="P56"/>
      <c r="Q56" s="6"/>
      <c r="R56"/>
      <c r="S56"/>
      <c r="T56"/>
      <c r="U56" s="40" t="str">
        <f t="shared" si="0"/>
        <v>643,1,1,3</v>
      </c>
      <c r="V56" s="105">
        <v>64</v>
      </c>
      <c r="W56" s="37" t="s">
        <v>119</v>
      </c>
      <c r="X56" s="101">
        <v>28.6</v>
      </c>
      <c r="Y56" s="42"/>
      <c r="Z56"/>
      <c r="AA56" s="28" t="s">
        <v>122</v>
      </c>
      <c r="AB56" s="8">
        <f>IF(B7=0,IF(B6="Wye",(AB38*3*B8*1000)/(B3+(2*AB55)),(AB38*B8*1000)/(B3+AB55)),B7)</f>
        <v>100</v>
      </c>
      <c r="AC56" s="8" t="s">
        <v>21</v>
      </c>
      <c r="AD56" s="50" t="s">
        <v>123</v>
      </c>
      <c r="AE56" s="52" t="s">
        <v>124</v>
      </c>
      <c r="AF56"/>
      <c r="AG56" s="53"/>
      <c r="AH56"/>
      <c r="AI56"/>
      <c r="AJ56"/>
      <c r="AK56"/>
      <c r="AL56" s="10"/>
      <c r="AM56" s="10"/>
      <c r="AN56"/>
      <c r="EU56"/>
    </row>
    <row r="57" spans="1:151" s="4" customFormat="1" ht="43.2" hidden="1" x14ac:dyDescent="0.55000000000000004">
      <c r="A57" s="24"/>
      <c r="B57" s="24"/>
      <c r="C57" s="24"/>
      <c r="D57" s="7"/>
      <c r="E57" s="7"/>
      <c r="G57"/>
      <c r="H57"/>
      <c r="I57"/>
      <c r="J57"/>
      <c r="Q57" s="6"/>
      <c r="AA57" s="25" t="s">
        <v>125</v>
      </c>
      <c r="AB57" s="3">
        <f>6*(1/2)*0.7*AB38*AB56/1000000*B10</f>
        <v>6.8455882352941172E-2</v>
      </c>
      <c r="AC57" s="3" t="s">
        <v>10</v>
      </c>
      <c r="AD57" s="45" t="s">
        <v>126</v>
      </c>
      <c r="AE57" s="54"/>
      <c r="AG57" s="54"/>
      <c r="AN57"/>
      <c r="EU57"/>
    </row>
    <row r="58" spans="1:151" ht="57.6" hidden="1" x14ac:dyDescent="0.55000000000000004">
      <c r="A58" s="24"/>
      <c r="K58" s="4"/>
      <c r="L58" s="4"/>
      <c r="M58" s="4"/>
      <c r="N58" s="4"/>
      <c r="O58" s="4"/>
      <c r="P58" s="4"/>
      <c r="Q58" s="6"/>
      <c r="R58" s="4"/>
      <c r="S58" s="4"/>
      <c r="T58" s="4"/>
      <c r="U58" s="4"/>
      <c r="V58" s="4"/>
      <c r="W58" s="4"/>
      <c r="X58" s="4"/>
      <c r="Y58" s="4"/>
      <c r="Z58" s="4"/>
      <c r="AA58" s="25" t="s">
        <v>127</v>
      </c>
      <c r="AB58" s="3">
        <f>6*(1/3)*AB38*AB38*AH25/1000*AB56/1000000*B10</f>
        <v>3.1958861976163017E-2</v>
      </c>
      <c r="AC58" s="3" t="s">
        <v>10</v>
      </c>
      <c r="AD58" s="48" t="s">
        <v>128</v>
      </c>
      <c r="AE58" s="54"/>
      <c r="AF58" s="4"/>
      <c r="AG58" s="54"/>
      <c r="AH58" s="4"/>
      <c r="AI58" s="4"/>
      <c r="AJ58" s="4"/>
      <c r="AK58" s="4"/>
      <c r="AL58" s="4"/>
      <c r="AM58" s="4"/>
    </row>
    <row r="59" spans="1:151" hidden="1" x14ac:dyDescent="0.55000000000000004">
      <c r="A59" s="3"/>
      <c r="Q59" s="6"/>
      <c r="AA59" s="25" t="s">
        <v>129</v>
      </c>
      <c r="AB59" s="56">
        <f>IF($B$5="No",AB57,AB58)</f>
        <v>6.8455882352941172E-2</v>
      </c>
      <c r="AC59" s="3" t="s">
        <v>10</v>
      </c>
      <c r="AH59"/>
      <c r="AI59"/>
      <c r="AJ59"/>
      <c r="AK59"/>
      <c r="AL59" s="10"/>
      <c r="AM59" s="10"/>
      <c r="EO59" s="10"/>
      <c r="EP59" s="10"/>
      <c r="EQ59" s="10"/>
      <c r="ER59" s="10"/>
    </row>
    <row r="60" spans="1:151" hidden="1" x14ac:dyDescent="0.55000000000000004">
      <c r="A60" s="3"/>
      <c r="Q60" s="6"/>
      <c r="AH60"/>
      <c r="AI60"/>
      <c r="AJ60"/>
      <c r="AK60"/>
      <c r="EO60" s="10"/>
      <c r="EP60" s="10"/>
      <c r="EQ60" s="10"/>
      <c r="ER60" s="10"/>
    </row>
    <row r="61" spans="1:151" hidden="1" x14ac:dyDescent="0.55000000000000004">
      <c r="A61" s="3"/>
      <c r="Q61" s="6"/>
      <c r="AH61"/>
      <c r="AI61"/>
      <c r="AJ61"/>
      <c r="AK61"/>
      <c r="EO61" s="10"/>
      <c r="EP61" s="10"/>
      <c r="EQ61" s="10"/>
      <c r="ER61" s="10"/>
    </row>
    <row r="62" spans="1:151" hidden="1" x14ac:dyDescent="0.55000000000000004">
      <c r="A62" s="3"/>
      <c r="Q62" s="6"/>
      <c r="AH62"/>
      <c r="AI62"/>
      <c r="AJ62"/>
      <c r="AK62"/>
      <c r="EO62" s="10"/>
      <c r="EP62" s="10"/>
      <c r="EQ62" s="10"/>
      <c r="ER62" s="10"/>
    </row>
    <row r="63" spans="1:151" hidden="1" x14ac:dyDescent="0.55000000000000004">
      <c r="A63" s="3"/>
      <c r="Q63" s="6"/>
      <c r="EM63" s="10"/>
      <c r="EN63" s="10"/>
      <c r="EO63" s="10"/>
      <c r="EP63" s="10"/>
    </row>
    <row r="64" spans="1:151" hidden="1" x14ac:dyDescent="0.55000000000000004">
      <c r="A64" s="3"/>
      <c r="EM64" s="10"/>
      <c r="EN64" s="10"/>
      <c r="EO64" s="10"/>
      <c r="EP64" s="10"/>
    </row>
    <row r="65" spans="1:151" hidden="1" x14ac:dyDescent="0.55000000000000004">
      <c r="A65" s="3"/>
      <c r="EM65" s="10"/>
      <c r="EN65" s="10"/>
      <c r="EO65" s="10"/>
      <c r="EP65" s="10"/>
    </row>
    <row r="66" spans="1:151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</row>
    <row r="67" spans="1:151" s="3" customFormat="1" ht="43.5" hidden="1" customHeight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</row>
    <row r="68" spans="1:151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</row>
    <row r="69" spans="1:151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</row>
    <row r="70" spans="1:151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</row>
    <row r="71" spans="1:151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</row>
    <row r="72" spans="1:151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</row>
    <row r="73" spans="1:151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</row>
    <row r="74" spans="1:151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</row>
    <row r="75" spans="1:151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</row>
    <row r="76" spans="1:151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</row>
    <row r="77" spans="1:151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</row>
    <row r="78" spans="1:151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</row>
    <row r="79" spans="1:151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</row>
    <row r="80" spans="1:151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</row>
    <row r="81" spans="1:151" s="3" customFormat="1" hidden="1" x14ac:dyDescent="0.55000000000000004"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 s="10"/>
      <c r="AI81" s="10"/>
      <c r="AJ81" s="10"/>
      <c r="AK81" s="10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</row>
    <row r="82" spans="1:151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</row>
    <row r="83" spans="1:151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</row>
    <row r="84" spans="1:151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</row>
    <row r="85" spans="1:151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</row>
    <row r="86" spans="1:151" s="10" customFormat="1" hidden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</row>
    <row r="87" spans="1:151" s="10" customFormat="1" hidden="1" x14ac:dyDescent="0.55000000000000004">
      <c r="A87" s="3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</row>
    <row r="88" spans="1:151" s="10" customFormat="1" hidden="1" x14ac:dyDescent="0.55000000000000004">
      <c r="A88" s="3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</row>
    <row r="89" spans="1:151" s="10" customFormat="1" hidden="1" x14ac:dyDescent="0.55000000000000004">
      <c r="A89" s="3"/>
      <c r="B89" s="3"/>
      <c r="C89" s="3"/>
      <c r="D89" s="5"/>
      <c r="E89" s="5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</row>
    <row r="90" spans="1:151" s="10" customFormat="1" hidden="1" x14ac:dyDescent="0.55000000000000004">
      <c r="A90" s="3"/>
      <c r="B90" s="3"/>
      <c r="C90" s="3"/>
      <c r="D90" s="5"/>
      <c r="E90" s="5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</row>
    <row r="91" spans="1:151" s="10" customFormat="1" hidden="1" x14ac:dyDescent="0.55000000000000004">
      <c r="A91" s="3"/>
      <c r="B91" s="3"/>
      <c r="C91" s="3"/>
      <c r="D91" s="5"/>
      <c r="E91" s="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</row>
    <row r="92" spans="1:151" s="10" customFormat="1" hidden="1" x14ac:dyDescent="0.55000000000000004">
      <c r="A92" s="3"/>
      <c r="B92" s="3"/>
      <c r="C92" s="3"/>
      <c r="D92" s="5"/>
      <c r="E92" s="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</row>
    <row r="93" spans="1:151" s="10" customFormat="1" hidden="1" x14ac:dyDescent="0.55000000000000004">
      <c r="A93" s="2"/>
      <c r="B93" s="3"/>
      <c r="C93" s="3"/>
      <c r="D93" s="5"/>
      <c r="E93" s="5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5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</row>
    <row r="94" spans="1:151" s="10" customFormat="1" hidden="1" x14ac:dyDescent="0.55000000000000004">
      <c r="A94" s="2"/>
      <c r="B94" s="3"/>
      <c r="C94" s="3"/>
      <c r="D94" s="5"/>
      <c r="E94" s="5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5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</row>
    <row r="95" spans="1:151" s="10" customFormat="1" hidden="1" x14ac:dyDescent="0.55000000000000004">
      <c r="A95" s="2"/>
      <c r="B95" s="3"/>
      <c r="C95" s="3"/>
      <c r="D95" s="5"/>
      <c r="E95" s="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</row>
  </sheetData>
  <sheetProtection algorithmName="SHA-512" hashValue="usAyuST5fRF9iqDXsyaru0Pl7JGUITnQrDXElpY8MyQBfMnRcLC8apOqHXh1wcpQX1hW+PbWKVzygwvuB8t80A==" saltValue="b4PjnEDM6y6GrVww339GPQ==" spinCount="100000" sheet="1"/>
  <mergeCells count="2">
    <mergeCell ref="B1:F1"/>
    <mergeCell ref="A20:C20"/>
  </mergeCells>
  <conditionalFormatting sqref="E4">
    <cfRule type="cellIs" dxfId="49" priority="1" operator="lessThan">
      <formula>125</formula>
    </cfRule>
    <cfRule type="cellIs" dxfId="48" priority="2" operator="greaterThan">
      <formula>125</formula>
    </cfRule>
  </conditionalFormatting>
  <dataValidations count="17">
    <dataValidation type="list" allowBlank="1" showInputMessage="1" showErrorMessage="1" sqref="B11" xr:uid="{ED07B152-058A-40EB-8F03-7154D6D0EF92}">
      <formula1>$Q$25:$Q$43</formula1>
    </dataValidation>
    <dataValidation type="list" allowBlank="1" showInputMessage="1" showErrorMessage="1" prompt="Select copper thickness of top/bottom layers (oz)" sqref="AB32 AJ24" xr:uid="{E9194178-E94D-4096-AB1C-E3823E51F3F2}">
      <formula1>$L$25:$L$26</formula1>
    </dataValidation>
    <dataValidation type="list" allowBlank="1" showInputMessage="1" showErrorMessage="1" prompt="Select copper thickness of internal layers if more than 2 layer PCB (oz)" sqref="AB32" xr:uid="{23D7098F-5B42-44B7-ABA1-BE7433EF80E8}">
      <formula1>$M$25:$M$26</formula1>
    </dataValidation>
    <dataValidation type="decimal" allowBlank="1" showInputMessage="1" showErrorMessage="1" error="This voltage is outside the operating range of the DRV8316" prompt="Enter a motor supply voltage between 4.5 to 35 volts" sqref="B3" xr:uid="{2975AAB8-CA18-4A3F-ABAB-BCE485B8CC8A}">
      <formula1>4.5</formula1>
      <formula2>35</formula2>
    </dataValidation>
    <dataValidation allowBlank="1" showInputMessage="1" showErrorMessage="1" prompt="Enter the operating ambient temperature" sqref="AB30" xr:uid="{EC02F0B1-C409-4CB1-B5E4-FD0BA5A2BE38}"/>
    <dataValidation allowBlank="1" showInputMessage="1" showErrorMessage="1" prompt="Enter the motor's electrical frequency in Hz" sqref="B10" xr:uid="{58AE0908-F690-4823-906E-1F5011BF61B1}"/>
    <dataValidation allowBlank="1" showInputMessage="1" showErrorMessage="1" prompt="Enter the motor phase's Back-EMF constant (Ke_ph)" sqref="B9" xr:uid="{08AB361F-C8F8-42D5-A549-A644562B6A8B}"/>
    <dataValidation allowBlank="1" showInputMessage="1" showErrorMessage="1" prompt="Enter the motor's phase inductance in mH" sqref="B8" xr:uid="{62EB8B9E-A898-45C8-B13C-D894617F645F}"/>
    <dataValidation allowBlank="1" showInputMessage="1" showErrorMessage="1" prompt="Enter the motor's commutation time (tcomm) as shown on the diagram to the right. If unknown, enter &quot;0&quot;" sqref="B7" xr:uid="{574CDF3D-4FCB-4091-87E8-FEE4B1F81179}"/>
    <dataValidation type="list" allowBlank="1" showInputMessage="1" showErrorMessage="1" prompt="Select copper thickness of top/bottom layers (oz)" sqref="B19" xr:uid="{C5719A88-6C4B-4471-A2EF-D18D8DC119C1}">
      <formula1>$N$25:$N$29</formula1>
    </dataValidation>
    <dataValidation type="list" allowBlank="1" showInputMessage="1" showErrorMessage="1" prompt="Select # of PCB Layers" sqref="B17" xr:uid="{A846D4D6-4E8B-4CD4-B42C-4CD745218458}">
      <formula1>$K$25:$K$26</formula1>
    </dataValidation>
    <dataValidation type="list" allowBlank="1" showInputMessage="1" showErrorMessage="1" prompt="Select PCB area (cm2)" sqref="B19" xr:uid="{50D0182C-2F9E-4C10-8D2A-B398C95A54A1}">
      <formula1>$N$25:$N$29</formula1>
    </dataValidation>
    <dataValidation type="list" allowBlank="1" showInputMessage="1" showErrorMessage="1" prompt="Select an output slew rate setting (V/us)" sqref="B12" xr:uid="{968BB740-2CCF-451A-8022-3224765BDD08}">
      <formula1>$O$25:$O$28</formula1>
    </dataValidation>
    <dataValidation type="list" allowBlank="1" showInputMessage="1" showErrorMessage="1" prompt="Select yes or no if active demag is enabled" sqref="B5" xr:uid="{2C4A0E6A-1D7A-4AF4-8320-ABE602B403C4}">
      <formula1>$R$25:$R$26</formula1>
    </dataValidation>
    <dataValidation type="list" allowBlank="1" showInputMessage="1" showErrorMessage="1" prompt="Select wye or delta motor configuration" sqref="B6" xr:uid="{F690B260-2B2D-4EFB-9530-F94CA77F42EE}">
      <formula1>$S$25:$S$26</formula1>
    </dataValidation>
    <dataValidation type="list" allowBlank="1" showInputMessage="1" showErrorMessage="1" prompt="Select copper thickness of top/bottom layers (oz)" sqref="B18" xr:uid="{7F09D5C9-D106-4E46-A1C9-F1B28875D792}">
      <formula1>$L$25:$L$27</formula1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5" xr:uid="{26FE4939-6734-4532-B9FD-8769C48ACD1E}">
      <formula1>-40</formula1>
      <formula2>125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F488-09CF-4593-8CF1-A78F85EA70D4}">
  <dimension ref="A1:AK88"/>
  <sheetViews>
    <sheetView zoomScale="85" zoomScaleNormal="85" workbookViewId="0">
      <selection activeCell="B6" sqref="B6"/>
    </sheetView>
  </sheetViews>
  <sheetFormatPr defaultColWidth="0" defaultRowHeight="14.4" zeroHeight="1" x14ac:dyDescent="0.55000000000000004"/>
  <cols>
    <col min="1" max="1" width="60.1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/>
    <col min="8" max="8" width="28.5234375" hidden="1"/>
    <col min="9" max="9" width="24.5234375" hidden="1"/>
    <col min="10" max="10" width="10.47265625" hidden="1"/>
    <col min="11" max="13" width="10.5234375" hidden="1"/>
    <col min="14" max="14" width="14.5234375" hidden="1"/>
    <col min="15" max="15" width="13.7890625" hidden="1"/>
    <col min="16" max="16" width="8.5234375" hidden="1"/>
    <col min="17" max="17" width="14.5234375" hidden="1"/>
    <col min="18" max="18" width="19.47265625" hidden="1"/>
    <col min="19" max="19" width="12.47265625" hidden="1"/>
    <col min="20" max="20" width="19.7890625" hidden="1"/>
    <col min="21" max="21" width="19.15625" hidden="1"/>
    <col min="22" max="22" width="8.83984375" hidden="1"/>
    <col min="23" max="23" width="22.5234375" hidden="1"/>
    <col min="24" max="24" width="12.47265625" hidden="1"/>
    <col min="25" max="25" width="15.47265625" hidden="1"/>
    <col min="26" max="26" width="33" hidden="1"/>
    <col min="27" max="27" width="15.5234375" hidden="1"/>
    <col min="28" max="28" width="14.5234375" hidden="1"/>
    <col min="29" max="29" width="14.47265625" hidden="1"/>
    <col min="30" max="30" width="12.47265625" hidden="1"/>
    <col min="31" max="31" width="15.15625" hidden="1"/>
    <col min="32" max="32" width="13.47265625" hidden="1"/>
    <col min="33" max="33" width="15.47265625" hidden="1"/>
    <col min="34" max="34" width="13.47265625" style="10" hidden="1"/>
    <col min="35" max="35" width="10.47265625" style="10" hidden="1"/>
    <col min="36" max="36" width="16.7890625" style="10" hidden="1"/>
    <col min="37" max="37" width="16.5234375" style="10" hidden="1"/>
    <col min="38" max="16384" width="8.83984375" hidden="1"/>
  </cols>
  <sheetData>
    <row r="1" spans="1:37" ht="14.7" thickBot="1" x14ac:dyDescent="0.6">
      <c r="A1" s="142" t="s">
        <v>203</v>
      </c>
      <c r="B1" s="185" t="s">
        <v>198</v>
      </c>
      <c r="C1" s="185"/>
      <c r="D1" s="185"/>
      <c r="E1" s="185"/>
      <c r="F1" s="185"/>
    </row>
    <row r="2" spans="1:37" ht="14.5" customHeight="1" thickBot="1" x14ac:dyDescent="0.6">
      <c r="A2" s="106" t="s">
        <v>2</v>
      </c>
      <c r="B2" s="107" t="s">
        <v>199</v>
      </c>
      <c r="C2" s="108" t="s">
        <v>4</v>
      </c>
      <c r="D2" s="109" t="s">
        <v>5</v>
      </c>
      <c r="E2" s="110" t="s">
        <v>6</v>
      </c>
      <c r="F2" s="110" t="s">
        <v>4</v>
      </c>
    </row>
    <row r="3" spans="1:37" ht="14.5" customHeight="1" thickBot="1" x14ac:dyDescent="0.6">
      <c r="A3" s="86" t="s">
        <v>7</v>
      </c>
      <c r="B3" s="111">
        <v>24</v>
      </c>
      <c r="C3" s="112" t="s">
        <v>8</v>
      </c>
      <c r="D3" s="66" t="s">
        <v>9</v>
      </c>
      <c r="E3" s="113">
        <f>ROUND(IF(U21=-1,"n/a",$AH$19),2)</f>
        <v>4.53</v>
      </c>
      <c r="F3" s="112" t="s">
        <v>10</v>
      </c>
    </row>
    <row r="4" spans="1:37" ht="14.5" customHeight="1" thickBot="1" x14ac:dyDescent="0.6">
      <c r="A4" s="88" t="s">
        <v>205</v>
      </c>
      <c r="B4" s="169">
        <v>2</v>
      </c>
      <c r="C4" s="115" t="s">
        <v>12</v>
      </c>
      <c r="D4" s="66" t="s">
        <v>13</v>
      </c>
      <c r="E4" s="3">
        <f>ROUND(IF(U21=-1,"n/a",$AH$20),2)</f>
        <v>154.41999999999999</v>
      </c>
      <c r="F4" s="112" t="s">
        <v>84</v>
      </c>
    </row>
    <row r="5" spans="1:37" ht="14.5" customHeight="1" x14ac:dyDescent="0.55000000000000004">
      <c r="A5" s="116" t="s">
        <v>141</v>
      </c>
      <c r="B5" s="114" t="s">
        <v>142</v>
      </c>
      <c r="C5" s="115"/>
      <c r="D5" s="117"/>
      <c r="E5" s="117"/>
      <c r="F5" s="117"/>
    </row>
    <row r="6" spans="1:37" ht="14.5" customHeight="1" x14ac:dyDescent="0.55000000000000004">
      <c r="A6" s="86" t="s">
        <v>24</v>
      </c>
      <c r="B6" s="27">
        <v>50</v>
      </c>
      <c r="C6" s="112" t="s">
        <v>25</v>
      </c>
    </row>
    <row r="7" spans="1:37" ht="14.5" customHeight="1" x14ac:dyDescent="0.55000000000000004">
      <c r="A7" s="92" t="s">
        <v>26</v>
      </c>
      <c r="B7" s="114">
        <v>1100</v>
      </c>
      <c r="C7" s="115" t="s">
        <v>27</v>
      </c>
    </row>
    <row r="8" spans="1:37" ht="14.5" customHeight="1" x14ac:dyDescent="0.55000000000000004">
      <c r="A8" s="93" t="s">
        <v>194</v>
      </c>
      <c r="B8" s="27">
        <v>5</v>
      </c>
      <c r="C8" s="78" t="s">
        <v>29</v>
      </c>
    </row>
    <row r="9" spans="1:37" ht="14.5" customHeight="1" x14ac:dyDescent="0.55000000000000004">
      <c r="A9" s="93" t="s">
        <v>28</v>
      </c>
      <c r="B9" s="72">
        <v>5</v>
      </c>
      <c r="C9" s="78" t="s">
        <v>29</v>
      </c>
      <c r="W9" s="25" t="s">
        <v>134</v>
      </c>
      <c r="X9" s="3">
        <v>10</v>
      </c>
      <c r="Y9" s="3" t="s">
        <v>29</v>
      </c>
      <c r="Z9" t="s">
        <v>135</v>
      </c>
    </row>
    <row r="10" spans="1:37" ht="14.5" customHeight="1" thickBot="1" x14ac:dyDescent="0.6">
      <c r="A10" s="118" t="s">
        <v>30</v>
      </c>
      <c r="B10" s="73">
        <v>25</v>
      </c>
      <c r="C10" s="119" t="s">
        <v>14</v>
      </c>
      <c r="W10" s="25" t="s">
        <v>136</v>
      </c>
      <c r="X10" s="45">
        <v>17</v>
      </c>
      <c r="Y10" s="3" t="s">
        <v>29</v>
      </c>
      <c r="Z10" t="s">
        <v>135</v>
      </c>
      <c r="AA10" s="24"/>
      <c r="AB10" s="3"/>
      <c r="AC10" s="5"/>
    </row>
    <row r="11" spans="1:37" ht="14.5" customHeight="1" thickBot="1" x14ac:dyDescent="0.6">
      <c r="A11" s="120" t="s">
        <v>31</v>
      </c>
      <c r="B11" s="107"/>
      <c r="C11" s="108"/>
    </row>
    <row r="12" spans="1:37" ht="34.450000000000003" customHeight="1" x14ac:dyDescent="0.55000000000000004">
      <c r="A12" s="121" t="s">
        <v>32</v>
      </c>
      <c r="B12" s="122">
        <v>4</v>
      </c>
      <c r="C12" s="112" t="s">
        <v>33</v>
      </c>
    </row>
    <row r="13" spans="1:37" ht="14.5" customHeight="1" x14ac:dyDescent="0.55000000000000004">
      <c r="A13" s="123" t="s">
        <v>34</v>
      </c>
      <c r="B13" s="114">
        <v>3</v>
      </c>
      <c r="C13" s="124" t="s">
        <v>35</v>
      </c>
    </row>
    <row r="14" spans="1:37" s="1" customFormat="1" ht="25.5" customHeight="1" thickBot="1" x14ac:dyDescent="0.6">
      <c r="A14" s="118" t="s">
        <v>36</v>
      </c>
      <c r="B14" s="125">
        <v>64</v>
      </c>
      <c r="C14" s="126" t="s">
        <v>37</v>
      </c>
      <c r="D14" s="5"/>
      <c r="E14" s="5"/>
      <c r="F14"/>
      <c r="AH14" s="11"/>
      <c r="AI14" s="11"/>
      <c r="AJ14" s="11"/>
      <c r="AK14" s="11"/>
    </row>
    <row r="15" spans="1:37" ht="46.5" customHeight="1" thickBot="1" x14ac:dyDescent="0.6">
      <c r="A15" s="186" t="s">
        <v>204</v>
      </c>
      <c r="B15" s="187"/>
      <c r="C15" s="188"/>
      <c r="D15" s="1"/>
      <c r="E15" s="1"/>
      <c r="F15" s="1"/>
      <c r="W15" s="137" t="s">
        <v>39</v>
      </c>
      <c r="X15" s="138" t="s">
        <v>6</v>
      </c>
      <c r="Y15" s="138" t="s">
        <v>4</v>
      </c>
    </row>
    <row r="16" spans="1:37" ht="14.7" hidden="1" thickBot="1" x14ac:dyDescent="0.6">
      <c r="G16" s="6" t="s">
        <v>32</v>
      </c>
      <c r="H16" s="6" t="s">
        <v>40</v>
      </c>
      <c r="I16" s="6" t="s">
        <v>41</v>
      </c>
      <c r="J16" s="6" t="s">
        <v>36</v>
      </c>
      <c r="K16" s="6" t="s">
        <v>42</v>
      </c>
      <c r="L16" s="6" t="s">
        <v>43</v>
      </c>
      <c r="M16" s="6" t="s">
        <v>44</v>
      </c>
      <c r="N16" s="6" t="s">
        <v>144</v>
      </c>
      <c r="O16" s="8"/>
      <c r="P16" s="8"/>
      <c r="R16" s="189" t="s">
        <v>47</v>
      </c>
      <c r="S16" s="190"/>
      <c r="T16" s="190"/>
      <c r="U16" s="191"/>
      <c r="W16" s="28" t="s">
        <v>48</v>
      </c>
      <c r="X16" s="8">
        <v>1.4829000000000001</v>
      </c>
      <c r="Y16" s="8" t="s">
        <v>12</v>
      </c>
      <c r="AC16" s="192" t="s">
        <v>49</v>
      </c>
      <c r="AD16" s="193"/>
      <c r="AE16" s="192" t="s">
        <v>50</v>
      </c>
      <c r="AF16" s="193"/>
      <c r="AG16" s="192" t="s">
        <v>51</v>
      </c>
      <c r="AH16" s="193"/>
    </row>
    <row r="17" spans="1:37" ht="14.7" hidden="1" thickBot="1" x14ac:dyDescent="0.6">
      <c r="G17" s="6">
        <v>2</v>
      </c>
      <c r="H17" s="6">
        <v>1</v>
      </c>
      <c r="I17" s="6">
        <v>1</v>
      </c>
      <c r="J17" s="26">
        <v>4</v>
      </c>
      <c r="K17" s="6">
        <v>50</v>
      </c>
      <c r="L17" s="6">
        <v>0.25</v>
      </c>
      <c r="M17" s="6">
        <v>10</v>
      </c>
      <c r="N17" s="6" t="s">
        <v>145</v>
      </c>
      <c r="O17" s="8"/>
      <c r="P17" s="8"/>
      <c r="R17" s="17" t="s">
        <v>53</v>
      </c>
      <c r="S17" s="18" t="s">
        <v>54</v>
      </c>
      <c r="T17" s="18" t="s">
        <v>55</v>
      </c>
      <c r="U17" s="19" t="s">
        <v>56</v>
      </c>
      <c r="W17" s="28" t="s">
        <v>57</v>
      </c>
      <c r="X17" s="8">
        <v>0.99</v>
      </c>
      <c r="Y17" s="8"/>
      <c r="AC17" s="29" t="s">
        <v>58</v>
      </c>
      <c r="AD17">
        <f>$X$20+($AA$20*(B10-25))</f>
        <v>200</v>
      </c>
      <c r="AE17" s="29" t="s">
        <v>59</v>
      </c>
      <c r="AF17">
        <f>$X$20+($AA$20*(AD20-25))</f>
        <v>296.45189363333333</v>
      </c>
      <c r="AG17" s="29" t="s">
        <v>60</v>
      </c>
      <c r="AH17">
        <f>$X$20+($AA$20*(AF20-25))</f>
        <v>334.83652563333339</v>
      </c>
    </row>
    <row r="18" spans="1:37" ht="29.1" hidden="1" thickBot="1" x14ac:dyDescent="0.6">
      <c r="G18" s="6">
        <v>4</v>
      </c>
      <c r="H18" s="6">
        <v>2</v>
      </c>
      <c r="I18" s="6">
        <v>2</v>
      </c>
      <c r="J18" s="26">
        <v>8</v>
      </c>
      <c r="K18" s="6">
        <v>250</v>
      </c>
      <c r="L18" s="6">
        <v>0.1</v>
      </c>
      <c r="M18" s="6">
        <v>15</v>
      </c>
      <c r="N18" s="6" t="s">
        <v>142</v>
      </c>
      <c r="O18" s="8"/>
      <c r="P18" s="8"/>
      <c r="R18" s="14">
        <f>B13</f>
        <v>3</v>
      </c>
      <c r="S18" s="12">
        <f>IF(B12&gt;2,X24,"")</f>
        <v>1</v>
      </c>
      <c r="T18" s="12">
        <f>IF(B12&gt;2,X24,"")</f>
        <v>1</v>
      </c>
      <c r="U18" s="15">
        <f>B13</f>
        <v>3</v>
      </c>
      <c r="W18" s="25" t="s">
        <v>134</v>
      </c>
      <c r="X18" s="3">
        <v>7</v>
      </c>
      <c r="Y18" s="3" t="s">
        <v>29</v>
      </c>
      <c r="Z18" t="s">
        <v>135</v>
      </c>
      <c r="AC18" s="30" t="s">
        <v>63</v>
      </c>
      <c r="AD18" s="9">
        <f>ROUND(3*$B$4*$B$4*AD17/(1000),3)</f>
        <v>2.4</v>
      </c>
      <c r="AE18" s="30" t="s">
        <v>64</v>
      </c>
      <c r="AF18" s="9">
        <f>ROUND(3*$B$4*$B$4*AF17/(1000),3)</f>
        <v>3.5569999999999999</v>
      </c>
      <c r="AG18" s="30" t="s">
        <v>65</v>
      </c>
      <c r="AH18" s="9">
        <f>ROUND(3*$B$4*$B$4*AH17/(1000),3)</f>
        <v>4.0179999999999998</v>
      </c>
    </row>
    <row r="19" spans="1:37" ht="29.1" hidden="1" thickBot="1" x14ac:dyDescent="0.6">
      <c r="G19" s="6"/>
      <c r="H19" s="6">
        <v>3</v>
      </c>
      <c r="I19" s="6"/>
      <c r="J19" s="26">
        <v>16</v>
      </c>
      <c r="K19" s="6">
        <v>500</v>
      </c>
      <c r="L19" s="6">
        <v>0.1</v>
      </c>
      <c r="M19" s="6">
        <v>20</v>
      </c>
      <c r="N19" s="6"/>
      <c r="O19" s="8"/>
      <c r="P19" s="8"/>
      <c r="Q19" s="8"/>
      <c r="R19" s="179" t="s">
        <v>66</v>
      </c>
      <c r="S19" s="180"/>
      <c r="T19" s="181"/>
      <c r="U19" s="33" t="s">
        <v>67</v>
      </c>
      <c r="W19" s="25" t="s">
        <v>136</v>
      </c>
      <c r="X19" s="45">
        <v>7</v>
      </c>
      <c r="Y19" s="3" t="s">
        <v>29</v>
      </c>
      <c r="Z19" t="s">
        <v>135</v>
      </c>
      <c r="AC19" s="30" t="s">
        <v>70</v>
      </c>
      <c r="AD19" s="9">
        <f>AD18+$AA$21</f>
        <v>2.9072791666666666</v>
      </c>
      <c r="AE19" s="30" t="s">
        <v>71</v>
      </c>
      <c r="AF19" s="9">
        <f>AF18+$AA$21</f>
        <v>4.0642791666666671</v>
      </c>
      <c r="AG19" s="31" t="s">
        <v>72</v>
      </c>
      <c r="AH19" s="32">
        <f>AH18+$AA$21</f>
        <v>4.5252791666666665</v>
      </c>
    </row>
    <row r="20" spans="1:37" ht="14.7" hidden="1" thickBot="1" x14ac:dyDescent="0.6">
      <c r="G20" s="6"/>
      <c r="H20" s="6"/>
      <c r="I20" s="6"/>
      <c r="J20" s="26">
        <v>32</v>
      </c>
      <c r="K20" s="6">
        <v>1100</v>
      </c>
      <c r="L20" s="6">
        <v>6.5000000000000002E-2</v>
      </c>
      <c r="M20" s="6">
        <v>25</v>
      </c>
      <c r="N20" s="6"/>
      <c r="O20" s="8"/>
      <c r="P20" s="8"/>
      <c r="Q20" s="8"/>
      <c r="R20" s="20" t="s">
        <v>73</v>
      </c>
      <c r="S20" s="21" t="s">
        <v>74</v>
      </c>
      <c r="T20" s="21" t="s">
        <v>75</v>
      </c>
      <c r="U20" s="34" t="s">
        <v>76</v>
      </c>
      <c r="W20" s="28" t="s">
        <v>77</v>
      </c>
      <c r="X20" s="3">
        <v>200</v>
      </c>
      <c r="Y20" s="8" t="s">
        <v>78</v>
      </c>
      <c r="Z20" t="s">
        <v>85</v>
      </c>
      <c r="AA20">
        <f>(X21-X20)/(150-25)</f>
        <v>1.1599999999999999</v>
      </c>
      <c r="AC20" s="30" t="s">
        <v>79</v>
      </c>
      <c r="AD20" s="9">
        <f>$B$10+(AD19*$X$25)</f>
        <v>108.14818416666667</v>
      </c>
      <c r="AE20" s="30" t="s">
        <v>80</v>
      </c>
      <c r="AF20" s="9">
        <f>$B$10+(AF19*$X$25)</f>
        <v>141.23838416666669</v>
      </c>
      <c r="AG20" s="31" t="s">
        <v>81</v>
      </c>
      <c r="AH20" s="32">
        <f>$B$10+(AH19*$X$25)</f>
        <v>154.42298416666668</v>
      </c>
    </row>
    <row r="21" spans="1:37" ht="43.2" hidden="1" x14ac:dyDescent="0.55000000000000004">
      <c r="A21" s="3"/>
      <c r="G21" s="6"/>
      <c r="H21" s="6"/>
      <c r="I21" s="6"/>
      <c r="J21" s="26">
        <v>64</v>
      </c>
      <c r="K21" s="6"/>
      <c r="L21" s="6"/>
      <c r="M21" s="6">
        <v>30</v>
      </c>
      <c r="N21" s="6"/>
      <c r="O21" s="8"/>
      <c r="P21" s="8"/>
      <c r="Q21" s="8"/>
      <c r="R21" s="14" t="str">
        <f>_xlfn.TEXTJOIN(",",TRUE,R18:U18)</f>
        <v>3,1,1,3</v>
      </c>
      <c r="S21" s="12">
        <f>B14</f>
        <v>64</v>
      </c>
      <c r="T21" s="12"/>
      <c r="U21" s="15">
        <f>VLOOKUP(S21&amp;R21,Q24:T48,4,FALSE)</f>
        <v>28.6</v>
      </c>
      <c r="W21" s="28" t="s">
        <v>82</v>
      </c>
      <c r="X21" s="8">
        <f>690/2</f>
        <v>345</v>
      </c>
      <c r="Y21" s="8" t="s">
        <v>78</v>
      </c>
      <c r="Z21" s="27" t="s">
        <v>146</v>
      </c>
      <c r="AA21">
        <f>X34+X38+X39+X41+X42+X43</f>
        <v>0.50727916666666673</v>
      </c>
    </row>
    <row r="22" spans="1:37" hidden="1" x14ac:dyDescent="0.55000000000000004">
      <c r="A22" s="3"/>
      <c r="G22" s="5"/>
      <c r="H22" s="5"/>
      <c r="M22" s="6">
        <v>35</v>
      </c>
      <c r="R22" s="182" t="s">
        <v>83</v>
      </c>
      <c r="S22" s="183"/>
      <c r="T22" s="183"/>
      <c r="U22" s="184"/>
      <c r="W22" s="28" t="s">
        <v>30</v>
      </c>
      <c r="X22" s="8">
        <v>25</v>
      </c>
      <c r="Y22" s="8" t="s">
        <v>84</v>
      </c>
    </row>
    <row r="23" spans="1:37" hidden="1" x14ac:dyDescent="0.55000000000000004">
      <c r="A23" s="3"/>
      <c r="G23" s="5"/>
      <c r="H23" s="5"/>
      <c r="M23" s="6">
        <v>40</v>
      </c>
      <c r="Q23" s="4" t="s">
        <v>86</v>
      </c>
      <c r="R23" s="127" t="s">
        <v>87</v>
      </c>
      <c r="S23" s="128" t="s">
        <v>73</v>
      </c>
      <c r="T23" s="129" t="s">
        <v>88</v>
      </c>
      <c r="U23" s="22"/>
      <c r="W23" s="28" t="s">
        <v>89</v>
      </c>
      <c r="X23" s="8">
        <v>1.25</v>
      </c>
      <c r="Y23" s="8" t="s">
        <v>90</v>
      </c>
    </row>
    <row r="24" spans="1:37" ht="28.8" hidden="1" x14ac:dyDescent="0.55000000000000004">
      <c r="A24" s="24"/>
      <c r="B24" s="24"/>
      <c r="C24" s="24"/>
      <c r="G24" s="5"/>
      <c r="H24" s="5"/>
      <c r="M24" s="6">
        <v>45</v>
      </c>
      <c r="Q24" s="4" t="str">
        <f t="shared" ref="Q24:Q48" si="0">R24&amp;S24</f>
        <v>41,1</v>
      </c>
      <c r="R24" s="14">
        <v>4</v>
      </c>
      <c r="S24" s="12" t="s">
        <v>92</v>
      </c>
      <c r="T24" s="143">
        <v>86.5</v>
      </c>
      <c r="U24" s="13"/>
      <c r="W24" s="28" t="str">
        <f>IF(B12&gt;2,"Internal Layers Cu Thickness","")</f>
        <v>Internal Layers Cu Thickness</v>
      </c>
      <c r="X24" s="8">
        <v>1</v>
      </c>
      <c r="Y24" s="8" t="str">
        <f>IF(B12&gt;2,"oz","")</f>
        <v>oz</v>
      </c>
    </row>
    <row r="25" spans="1:37" hidden="1" x14ac:dyDescent="0.55000000000000004">
      <c r="A25" s="3"/>
      <c r="G25" s="5"/>
      <c r="H25" s="5"/>
      <c r="M25" s="6">
        <v>50</v>
      </c>
      <c r="Q25" s="4" t="str">
        <f t="shared" si="0"/>
        <v>42,2</v>
      </c>
      <c r="R25" s="14">
        <v>4</v>
      </c>
      <c r="S25" s="12" t="s">
        <v>93</v>
      </c>
      <c r="T25" s="144">
        <v>80.099999999999994</v>
      </c>
      <c r="U25" s="15"/>
      <c r="W25" s="28" t="s">
        <v>94</v>
      </c>
      <c r="X25" s="8">
        <f>U21</f>
        <v>28.6</v>
      </c>
      <c r="Y25" s="8" t="s">
        <v>95</v>
      </c>
    </row>
    <row r="26" spans="1:37" hidden="1" x14ac:dyDescent="0.55000000000000004">
      <c r="A26" s="23"/>
      <c r="G26" s="5"/>
      <c r="H26" s="5"/>
      <c r="M26" s="6">
        <v>55</v>
      </c>
      <c r="Q26" s="4" t="str">
        <f t="shared" si="0"/>
        <v>41,1,1,1</v>
      </c>
      <c r="R26" s="14">
        <v>4</v>
      </c>
      <c r="S26" s="12" t="s">
        <v>96</v>
      </c>
      <c r="T26" s="143">
        <v>71.900000000000006</v>
      </c>
      <c r="U26" s="15"/>
      <c r="W26" s="137" t="s">
        <v>39</v>
      </c>
      <c r="X26" s="138" t="s">
        <v>6</v>
      </c>
      <c r="Y26" s="138" t="s">
        <v>4</v>
      </c>
    </row>
    <row r="27" spans="1:37" hidden="1" x14ac:dyDescent="0.55000000000000004">
      <c r="A27" s="3"/>
      <c r="G27" s="5"/>
      <c r="H27" s="5"/>
      <c r="M27" s="6">
        <v>60</v>
      </c>
      <c r="Q27" s="4" t="str">
        <f t="shared" si="0"/>
        <v>42,1,1,2</v>
      </c>
      <c r="R27" s="14">
        <v>4</v>
      </c>
      <c r="S27" s="12" t="s">
        <v>97</v>
      </c>
      <c r="T27" s="143">
        <v>69.900000000000006</v>
      </c>
      <c r="U27" s="15"/>
      <c r="W27" s="28" t="s">
        <v>98</v>
      </c>
      <c r="X27" s="8">
        <f>ROUND((B3/SQRT(2))*X17,2)</f>
        <v>16.8</v>
      </c>
      <c r="Y27" s="8" t="s">
        <v>8</v>
      </c>
    </row>
    <row r="28" spans="1:37" s="1" customFormat="1" ht="28.8" hidden="1" x14ac:dyDescent="0.55000000000000004">
      <c r="A28" s="3"/>
      <c r="B28" s="3"/>
      <c r="C28" s="3"/>
      <c r="D28" s="5"/>
      <c r="E28" s="5"/>
      <c r="F28"/>
      <c r="G28" s="5"/>
      <c r="H28" s="5"/>
      <c r="I28"/>
      <c r="J28"/>
      <c r="K28"/>
      <c r="L28"/>
      <c r="M28" s="6">
        <v>65</v>
      </c>
      <c r="N28"/>
      <c r="O28"/>
      <c r="P28"/>
      <c r="Q28" s="4" t="str">
        <f t="shared" si="0"/>
        <v>81,1</v>
      </c>
      <c r="R28" s="14">
        <v>8</v>
      </c>
      <c r="S28" s="12" t="s">
        <v>92</v>
      </c>
      <c r="T28" s="143">
        <v>69.8</v>
      </c>
      <c r="U28" s="15"/>
      <c r="V28"/>
      <c r="W28" s="28" t="s">
        <v>99</v>
      </c>
      <c r="X28" s="8">
        <f>ROUND(X27/1.41,2)</f>
        <v>11.91</v>
      </c>
      <c r="Y28" s="8" t="s">
        <v>8</v>
      </c>
      <c r="Z28"/>
      <c r="AA28"/>
      <c r="AH28" s="11"/>
      <c r="AI28" s="11"/>
      <c r="AJ28" s="11"/>
      <c r="AK28" s="11"/>
    </row>
    <row r="29" spans="1:37" hidden="1" x14ac:dyDescent="0.55000000000000004">
      <c r="A29" s="1"/>
      <c r="B29" s="1"/>
      <c r="C29" s="1"/>
      <c r="D29" s="6"/>
      <c r="E29" s="6"/>
      <c r="F29" s="1"/>
      <c r="G29" s="5"/>
      <c r="H29" s="5"/>
      <c r="M29" s="6">
        <v>70</v>
      </c>
      <c r="Q29" s="4" t="str">
        <f t="shared" si="0"/>
        <v>82,2</v>
      </c>
      <c r="R29" s="14">
        <v>8</v>
      </c>
      <c r="S29" s="12" t="s">
        <v>93</v>
      </c>
      <c r="T29" s="144">
        <v>62.1</v>
      </c>
      <c r="U29" s="15"/>
      <c r="W29" s="28"/>
      <c r="X29" s="8"/>
      <c r="Y29" s="8"/>
    </row>
    <row r="30" spans="1:37" hidden="1" x14ac:dyDescent="0.55000000000000004">
      <c r="A30" s="3"/>
      <c r="G30" s="5"/>
      <c r="H30" s="5"/>
      <c r="M30" s="6">
        <v>75</v>
      </c>
      <c r="Q30" s="4" t="str">
        <f t="shared" si="0"/>
        <v>81,1,1,1</v>
      </c>
      <c r="R30" s="14">
        <v>8</v>
      </c>
      <c r="S30" s="12" t="s">
        <v>96</v>
      </c>
      <c r="T30" s="143">
        <v>54.7</v>
      </c>
      <c r="U30" s="15"/>
      <c r="W30" s="28" t="s">
        <v>100</v>
      </c>
      <c r="X30" s="8">
        <f>B4*1.414</f>
        <v>2.8279999999999998</v>
      </c>
      <c r="Y30" s="8" t="s">
        <v>12</v>
      </c>
    </row>
    <row r="31" spans="1:37" hidden="1" x14ac:dyDescent="0.55000000000000004">
      <c r="A31" s="3"/>
      <c r="G31" s="5"/>
      <c r="H31" s="5"/>
      <c r="M31" s="6">
        <v>80</v>
      </c>
      <c r="Q31" s="4" t="str">
        <f t="shared" si="0"/>
        <v>82,1,1,2</v>
      </c>
      <c r="R31" s="14">
        <v>8</v>
      </c>
      <c r="S31" s="12" t="s">
        <v>97</v>
      </c>
      <c r="T31" s="143">
        <v>52.3</v>
      </c>
      <c r="U31" s="15"/>
      <c r="W31" s="28" t="s">
        <v>101</v>
      </c>
      <c r="X31" s="8">
        <f>B3/B7</f>
        <v>2.181818181818182E-2</v>
      </c>
      <c r="Y31" s="8" t="s">
        <v>21</v>
      </c>
    </row>
    <row r="32" spans="1:37" ht="28.8" hidden="1" x14ac:dyDescent="0.55000000000000004">
      <c r="A32" s="3"/>
      <c r="G32" s="5"/>
      <c r="H32" s="5"/>
      <c r="M32" s="6">
        <v>85</v>
      </c>
      <c r="Q32" s="4" t="str">
        <f t="shared" si="0"/>
        <v>161,1</v>
      </c>
      <c r="R32" s="14">
        <v>16</v>
      </c>
      <c r="S32" s="12" t="s">
        <v>92</v>
      </c>
      <c r="T32" s="143">
        <v>60.1</v>
      </c>
      <c r="U32" s="15"/>
      <c r="W32" s="25" t="s">
        <v>147</v>
      </c>
      <c r="X32" s="3">
        <f>VLOOKUP(B7,K17:L20,2,FALSE)</f>
        <v>6.5000000000000002E-2</v>
      </c>
      <c r="Y32" s="3" t="s">
        <v>21</v>
      </c>
    </row>
    <row r="33" spans="1:33" hidden="1" x14ac:dyDescent="0.55000000000000004">
      <c r="A33" s="3"/>
      <c r="G33" s="5"/>
      <c r="H33" s="5"/>
      <c r="M33" s="6">
        <v>90</v>
      </c>
      <c r="Q33" s="4" t="str">
        <f t="shared" si="0"/>
        <v>162,2</v>
      </c>
      <c r="R33" s="14">
        <v>16</v>
      </c>
      <c r="S33" s="12" t="s">
        <v>93</v>
      </c>
      <c r="T33" s="144">
        <v>51.1</v>
      </c>
      <c r="U33" s="16"/>
      <c r="W33" s="135" t="s">
        <v>103</v>
      </c>
      <c r="X33" s="136" t="s">
        <v>6</v>
      </c>
      <c r="Y33" s="136" t="s">
        <v>4</v>
      </c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 s="6">
        <v>95</v>
      </c>
      <c r="N34"/>
      <c r="O34"/>
      <c r="P34"/>
      <c r="Q34" s="4" t="str">
        <f t="shared" si="0"/>
        <v>161,1,1,1</v>
      </c>
      <c r="R34" s="14">
        <v>16</v>
      </c>
      <c r="S34" s="12" t="s">
        <v>96</v>
      </c>
      <c r="T34" s="143">
        <v>44</v>
      </c>
      <c r="U34" s="15"/>
      <c r="V34"/>
      <c r="W34" s="28" t="s">
        <v>104</v>
      </c>
      <c r="X34" s="140">
        <f>B3*IF(B3&gt;6.01,X19,X18)/1000</f>
        <v>0.16800000000000001</v>
      </c>
      <c r="Y34" s="8" t="s">
        <v>10</v>
      </c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 s="6">
        <v>100</v>
      </c>
      <c r="N35"/>
      <c r="O35"/>
      <c r="P35"/>
      <c r="Q35" s="4" t="str">
        <f t="shared" si="0"/>
        <v>162,1,1,2</v>
      </c>
      <c r="R35" s="14">
        <v>16</v>
      </c>
      <c r="S35" s="12" t="s">
        <v>97</v>
      </c>
      <c r="T35" s="143">
        <v>41.3</v>
      </c>
      <c r="U35" s="15"/>
      <c r="V35"/>
      <c r="W35" s="28"/>
      <c r="X35" s="8"/>
      <c r="Y35" s="8"/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 s="6"/>
      <c r="N36"/>
      <c r="O36"/>
      <c r="P36"/>
      <c r="Q36" s="4" t="str">
        <f t="shared" si="0"/>
        <v>321,1</v>
      </c>
      <c r="R36" s="14">
        <v>32</v>
      </c>
      <c r="S36" s="12" t="s">
        <v>92</v>
      </c>
      <c r="T36" s="143">
        <v>54.9</v>
      </c>
      <c r="U36" s="15"/>
      <c r="V36"/>
      <c r="W36" s="135" t="s">
        <v>148</v>
      </c>
      <c r="X36" s="136" t="s">
        <v>6</v>
      </c>
      <c r="Y36" s="136" t="s">
        <v>4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 s="6"/>
      <c r="N37"/>
      <c r="O37"/>
      <c r="P37"/>
      <c r="Q37" s="4" t="str">
        <f t="shared" si="0"/>
        <v>322,2</v>
      </c>
      <c r="R37" s="14">
        <v>32</v>
      </c>
      <c r="S37" s="12" t="s">
        <v>93</v>
      </c>
      <c r="T37" s="144">
        <v>44.8</v>
      </c>
      <c r="U37" s="15"/>
      <c r="V37"/>
      <c r="W37" s="28" t="s">
        <v>106</v>
      </c>
      <c r="X37" s="8">
        <f>ROUND(3*B4*B4*AH17/(1000),3)</f>
        <v>4.0179999999999998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 s="6"/>
      <c r="N38"/>
      <c r="O38"/>
      <c r="P38"/>
      <c r="Q38" s="4" t="str">
        <f t="shared" si="0"/>
        <v>321,1,1,1</v>
      </c>
      <c r="R38" s="14">
        <v>32</v>
      </c>
      <c r="S38" s="12" t="s">
        <v>96</v>
      </c>
      <c r="T38" s="143">
        <v>37.5</v>
      </c>
      <c r="U38" s="15"/>
      <c r="V38"/>
      <c r="W38" s="28" t="s">
        <v>108</v>
      </c>
      <c r="X38" s="140">
        <f>ROUND(3*B3*B4*X31*B6/(1000),3)*IF(B5="Discontinuous",2/3,1)</f>
        <v>0.10466666666666666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 s="6"/>
      <c r="N39"/>
      <c r="O39"/>
      <c r="P39"/>
      <c r="Q39" s="4" t="str">
        <f t="shared" si="0"/>
        <v>322,1,1,2</v>
      </c>
      <c r="R39" s="14">
        <v>32</v>
      </c>
      <c r="S39" s="12" t="s">
        <v>97</v>
      </c>
      <c r="T39" s="143">
        <v>34.700000000000003</v>
      </c>
      <c r="U39" s="15"/>
      <c r="V39"/>
      <c r="W39" s="28" t="s">
        <v>110</v>
      </c>
      <c r="X39" s="140">
        <f>X23*5*B6*0.000000001*1000</f>
        <v>3.1250000000000001E-4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 s="6"/>
      <c r="N40"/>
      <c r="O40"/>
      <c r="P40"/>
      <c r="Q40" s="4" t="str">
        <f t="shared" si="0"/>
        <v>641,1</v>
      </c>
      <c r="R40" s="14">
        <v>64</v>
      </c>
      <c r="S40" s="12" t="s">
        <v>92</v>
      </c>
      <c r="T40" s="143">
        <v>51.9</v>
      </c>
      <c r="U40" s="15"/>
      <c r="V40"/>
      <c r="W40" s="28" t="s">
        <v>149</v>
      </c>
      <c r="X40" s="8">
        <f>X37+X38+X39</f>
        <v>4.1229791666666662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 s="6"/>
      <c r="N41"/>
      <c r="O41"/>
      <c r="P41"/>
      <c r="Q41" s="4" t="str">
        <f t="shared" si="0"/>
        <v>642,2</v>
      </c>
      <c r="R41" s="14">
        <v>64</v>
      </c>
      <c r="S41" s="12" t="s">
        <v>93</v>
      </c>
      <c r="T41" s="144">
        <v>41</v>
      </c>
      <c r="U41" s="15"/>
      <c r="V41"/>
      <c r="W41" s="11" t="s">
        <v>113</v>
      </c>
      <c r="X41" s="139">
        <f>3*2*B4*X32*B6*0.7/1000</f>
        <v>2.7299999999999998E-2</v>
      </c>
      <c r="Y41" s="8" t="s">
        <v>10</v>
      </c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 s="6"/>
      <c r="N42"/>
      <c r="O42"/>
      <c r="P42"/>
      <c r="Q42" s="4" t="str">
        <f t="shared" si="0"/>
        <v>641,1,1,1</v>
      </c>
      <c r="R42" s="14">
        <v>64</v>
      </c>
      <c r="S42" s="12" t="s">
        <v>96</v>
      </c>
      <c r="T42" s="143">
        <v>33.5</v>
      </c>
      <c r="U42" s="15"/>
      <c r="V42"/>
      <c r="W42" s="28" t="s">
        <v>193</v>
      </c>
      <c r="X42" s="139">
        <f>(B3-3.3)*B9*0.001</f>
        <v>0.10350000000000001</v>
      </c>
      <c r="Y42" s="8" t="s">
        <v>10</v>
      </c>
      <c r="Z42"/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 s="6"/>
      <c r="N43"/>
      <c r="O43"/>
      <c r="P43"/>
      <c r="Q43" s="4" t="str">
        <f t="shared" si="0"/>
        <v>642,1,1,2</v>
      </c>
      <c r="R43" s="36">
        <v>64</v>
      </c>
      <c r="S43" s="37" t="s">
        <v>97</v>
      </c>
      <c r="T43" s="145">
        <v>30.4</v>
      </c>
      <c r="U43" s="38"/>
      <c r="V43"/>
      <c r="W43" s="28" t="s">
        <v>195</v>
      </c>
      <c r="X43" s="139">
        <f>(B3-3.3)*B8*0.001</f>
        <v>0.10350000000000001</v>
      </c>
      <c r="Y43" s="5"/>
      <c r="Z43" s="8"/>
      <c r="AA43"/>
      <c r="AB43"/>
      <c r="AC43"/>
      <c r="AD43"/>
      <c r="AE43"/>
      <c r="AF43"/>
      <c r="AG43"/>
    </row>
    <row r="44" spans="1:33" s="10" customFormat="1" hidden="1" x14ac:dyDescent="0.55000000000000004">
      <c r="A44" s="3"/>
      <c r="B44" s="3"/>
      <c r="C44" s="3"/>
      <c r="D44" s="5"/>
      <c r="E44" s="5"/>
      <c r="F44"/>
      <c r="G44" s="5"/>
      <c r="H44" s="5"/>
      <c r="I44"/>
      <c r="J44"/>
      <c r="K44"/>
      <c r="L44"/>
      <c r="M44" s="6"/>
      <c r="N44"/>
      <c r="O44"/>
      <c r="P44"/>
      <c r="Q44" s="40" t="str">
        <f t="shared" si="0"/>
        <v>43,1,1,3</v>
      </c>
      <c r="R44" s="39">
        <v>4</v>
      </c>
      <c r="S44" s="12" t="s">
        <v>119</v>
      </c>
      <c r="T44" s="143">
        <v>68.599999999999994</v>
      </c>
      <c r="U44" s="41"/>
      <c r="V44"/>
      <c r="W44" s="28" t="s">
        <v>150</v>
      </c>
      <c r="X44" s="8">
        <f>ROUND((3*X28*B4)-E3,2)</f>
        <v>66.930000000000007</v>
      </c>
      <c r="Y44" s="8" t="s">
        <v>10</v>
      </c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4"/>
      <c r="B45" s="24"/>
      <c r="C45" s="24"/>
      <c r="D45" s="5"/>
      <c r="E45" s="5"/>
      <c r="F45" s="5"/>
      <c r="G45"/>
      <c r="H45"/>
      <c r="I45"/>
      <c r="J45"/>
      <c r="K45"/>
      <c r="L45"/>
      <c r="M45" s="6"/>
      <c r="N45"/>
      <c r="O45"/>
      <c r="P45"/>
      <c r="Q45" s="40" t="str">
        <f t="shared" si="0"/>
        <v>83,1,1,3</v>
      </c>
      <c r="R45" s="39">
        <v>8</v>
      </c>
      <c r="S45" s="12" t="s">
        <v>119</v>
      </c>
      <c r="T45" s="143">
        <v>50.9</v>
      </c>
      <c r="U45" s="41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25"/>
      <c r="B46" s="3"/>
      <c r="C46" s="3"/>
      <c r="D46" s="5"/>
      <c r="E46" s="3"/>
      <c r="F46" s="3"/>
      <c r="G46" s="5"/>
      <c r="H46"/>
      <c r="I46"/>
      <c r="J46"/>
      <c r="K46"/>
      <c r="L46"/>
      <c r="M46" s="6"/>
      <c r="N46"/>
      <c r="O46"/>
      <c r="P46"/>
      <c r="Q46" s="40" t="str">
        <f t="shared" si="0"/>
        <v>163,1,1,3</v>
      </c>
      <c r="R46" s="39">
        <v>16</v>
      </c>
      <c r="S46" s="12" t="s">
        <v>119</v>
      </c>
      <c r="T46" s="143">
        <v>39.799999999999997</v>
      </c>
      <c r="U46" s="41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idden="1" x14ac:dyDescent="0.55000000000000004">
      <c r="A47" s="3"/>
      <c r="B47" s="3"/>
      <c r="C47" s="3"/>
      <c r="D47" s="5"/>
      <c r="E47" s="5"/>
      <c r="F47" s="5"/>
      <c r="G47"/>
      <c r="H47"/>
      <c r="I47"/>
      <c r="J47"/>
      <c r="K47"/>
      <c r="L47"/>
      <c r="M47" s="6"/>
      <c r="N47"/>
      <c r="O47"/>
      <c r="P47"/>
      <c r="Q47" s="40" t="str">
        <f t="shared" si="0"/>
        <v>323,1,1,3</v>
      </c>
      <c r="R47" s="39">
        <v>32</v>
      </c>
      <c r="S47" s="12" t="s">
        <v>119</v>
      </c>
      <c r="T47" s="143">
        <v>33</v>
      </c>
      <c r="U47" s="41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0" customFormat="1" ht="14.7" hidden="1" thickBot="1" x14ac:dyDescent="0.6">
      <c r="A48" s="23"/>
      <c r="B48" s="3"/>
      <c r="C48" s="3"/>
      <c r="D48" s="5"/>
      <c r="E48" s="5"/>
      <c r="F48"/>
      <c r="G48"/>
      <c r="H48"/>
      <c r="I48"/>
      <c r="J48"/>
      <c r="K48"/>
      <c r="L48"/>
      <c r="M48" s="6"/>
      <c r="N48"/>
      <c r="O48"/>
      <c r="P48"/>
      <c r="Q48" s="40" t="str">
        <f t="shared" si="0"/>
        <v>643,1,1,3</v>
      </c>
      <c r="R48" s="132">
        <v>64</v>
      </c>
      <c r="S48" s="133" t="s">
        <v>119</v>
      </c>
      <c r="T48" s="146">
        <v>28.6</v>
      </c>
      <c r="U48" s="42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4" customFormat="1" hidden="1" x14ac:dyDescent="0.55000000000000004">
      <c r="A49" s="24"/>
      <c r="B49" s="24"/>
      <c r="C49" s="24"/>
      <c r="D49" s="5"/>
      <c r="E49" s="5"/>
      <c r="F49"/>
      <c r="M49" s="6"/>
    </row>
    <row r="50" spans="1:33" s="4" customFormat="1" hidden="1" x14ac:dyDescent="0.55000000000000004">
      <c r="A50" s="25"/>
      <c r="D50" s="7"/>
      <c r="E50" s="7"/>
      <c r="M50" s="6"/>
    </row>
    <row r="51" spans="1:33" s="10" customFormat="1" hidden="1" x14ac:dyDescent="0.55000000000000004">
      <c r="A51" s="24"/>
      <c r="B51" s="24"/>
      <c r="C51" s="24"/>
      <c r="D51" s="7"/>
      <c r="E51" s="7"/>
      <c r="F51" s="4"/>
      <c r="G51"/>
      <c r="H51"/>
      <c r="I51"/>
      <c r="J51"/>
      <c r="K51"/>
      <c r="L51"/>
      <c r="M51" s="6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24"/>
      <c r="B52" s="3"/>
      <c r="C52" s="3"/>
      <c r="D52" s="5"/>
      <c r="E52" s="5"/>
      <c r="F52"/>
      <c r="G52"/>
      <c r="H52"/>
      <c r="I52"/>
      <c r="J52"/>
      <c r="K52"/>
      <c r="L52"/>
      <c r="M52" s="6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 s="6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 s="6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 s="6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idden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t="43.5" hidden="1" customHeight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7" s="10" customFormat="1" hidden="1" x14ac:dyDescent="0.55000000000000004">
      <c r="A65" s="3"/>
      <c r="B65" s="3"/>
      <c r="C65" s="3"/>
      <c r="D65" s="5"/>
      <c r="E65" s="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1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1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1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1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1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1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1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1:37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1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1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1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1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1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1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7" s="3" customFormat="1" hidden="1" x14ac:dyDescent="0.55000000000000004"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 s="10"/>
      <c r="AI81" s="10"/>
      <c r="AJ81" s="10"/>
      <c r="AK81" s="10"/>
    </row>
    <row r="82" spans="1:37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7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7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7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7" s="10" customFormat="1" hidden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7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  <row r="88" spans="1:37" s="10" customFormat="1" hidden="1" x14ac:dyDescent="0.55000000000000004">
      <c r="A88" s="2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5"/>
    </row>
  </sheetData>
  <sheetProtection algorithmName="SHA-512" hashValue="wA0AVvUi/RSETeMs0BMsoXMf4awmdzWcqONNLMXypGQgMOUrRmlOQbG5TOuFGxgWUDw7UVOvIZjzEIQGqqRcHA==" saltValue="nbCic9dBRQNkcQTrgSjhOw==" spinCount="100000" sheet="1" objects="1" scenarios="1"/>
  <mergeCells count="8">
    <mergeCell ref="AG16:AH16"/>
    <mergeCell ref="R19:T19"/>
    <mergeCell ref="R22:U22"/>
    <mergeCell ref="B1:F1"/>
    <mergeCell ref="A15:C15"/>
    <mergeCell ref="R16:U16"/>
    <mergeCell ref="AC16:AD16"/>
    <mergeCell ref="AE16:AF16"/>
  </mergeCells>
  <conditionalFormatting sqref="E4">
    <cfRule type="cellIs" dxfId="41" priority="1" operator="lessThan">
      <formula>125</formula>
    </cfRule>
    <cfRule type="cellIs" dxfId="40" priority="2" operator="greaterThan">
      <formula>125</formula>
    </cfRule>
  </conditionalFormatting>
  <dataValidations count="13">
    <dataValidation type="decimal" allowBlank="1" showInputMessage="1" showErrorMessage="1" error="This ambient temperature is outside the operating range of the DRV8316" prompt="Enter the ambient temperature for normal operation from -40C to 125C" sqref="B10" xr:uid="{3E98EE3B-B0B3-4DF3-AC72-4735BE46F344}">
      <formula1>-40</formula1>
      <formula2>125</formula2>
    </dataValidation>
    <dataValidation type="decimal" allowBlank="1" showInputMessage="1" showErrorMessage="1" error="AVDD output current out of range" prompt="Enter the AVDD output load current between 0 to 30mA" sqref="B9" xr:uid="{6D6DD006-D270-4796-96B3-28A529E523F0}">
      <formula1>0</formula1>
      <formula2>30</formula2>
    </dataValidation>
    <dataValidation type="list" allowBlank="1" showInputMessage="1" showErrorMessage="1" prompt="Select copper thickness of top/bottom layers (oz)" sqref="B14" xr:uid="{D64AF46D-879A-4612-8970-57214835D140}">
      <formula1>$J$17:$J$21</formula1>
    </dataValidation>
    <dataValidation type="list" allowBlank="1" showInputMessage="1" showErrorMessage="1" prompt="Select copper thickness of top/bottom layers (oz)" sqref="B13" xr:uid="{20549ECB-0F72-43C0-AF02-7CE6DF51FA53}">
      <formula1>$H$17:$H$19</formula1>
    </dataValidation>
    <dataValidation type="list" allowBlank="1" showInputMessage="1" showErrorMessage="1" prompt="Select PWM modulation type" sqref="B5" xr:uid="{2B055BE0-832D-4752-B3B6-1628EE8C32C8}">
      <formula1>$N$17:$N$18</formula1>
    </dataValidation>
    <dataValidation type="list" allowBlank="1" showInputMessage="1" showErrorMessage="1" prompt="Select # of PCB Layers" sqref="B12" xr:uid="{E48B3868-EA67-4CC6-90A9-702D4883CEC0}">
      <formula1>$G$17:$G$18</formula1>
    </dataValidation>
    <dataValidation type="list" allowBlank="1" showInputMessage="1" showErrorMessage="1" prompt="Select PCB area (cm2)" sqref="B14" xr:uid="{3BDEBA31-11C8-4ED3-B9E4-1A00E3386A37}">
      <formula1>$J$17:$J$21</formula1>
    </dataValidation>
    <dataValidation type="list" allowBlank="1" showInputMessage="1" showErrorMessage="1" prompt="Select an output slew rate setting (V/us)" sqref="B7" xr:uid="{A821CF49-F0EF-43B3-B7E9-39CD4FF196F7}">
      <formula1>$K$17:$K$20</formula1>
    </dataValidation>
    <dataValidation type="list" allowBlank="1" showInputMessage="1" showErrorMessage="1" prompt="Select copper thickness of top/bottom layers (oz)" sqref="X24 AB10 AF16" xr:uid="{8A2C13C8-CC80-40A1-8287-D42CA3C03F3A}">
      <formula1>$H$17:$H$18</formula1>
    </dataValidation>
    <dataValidation type="list" allowBlank="1" showInputMessage="1" showErrorMessage="1" prompt="Select copper thickness of internal layers if more than 2 layer PCB (oz)" sqref="X24" xr:uid="{31F3FA5F-A702-4992-85F0-E45236457275}">
      <formula1>$I$17:$I$18</formula1>
    </dataValidation>
    <dataValidation type="decimal" allowBlank="1" showInputMessage="1" showErrorMessage="1" error="This voltage is outside the operating range of the DRV8316" prompt="Enter a motor supply voltage between 4.5 to 35 volts" sqref="B3" xr:uid="{29C372FA-2B38-49D9-9530-1275FC3B0B4E}">
      <formula1>4.5</formula1>
      <formula2>35</formula2>
    </dataValidation>
    <dataValidation allowBlank="1" showInputMessage="1" showErrorMessage="1" prompt="Enter the operating ambient temperature" sqref="X22" xr:uid="{89596469-A23F-4C02-8A9B-152FF9E2F33C}"/>
    <dataValidation type="list" allowBlank="1" showInputMessage="1" showErrorMessage="1" sqref="B6" xr:uid="{7E8E21AD-9CD7-42B4-A706-7E8777A5FDF9}">
      <formula1>$M$17:$M$35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63B03-A44F-4234-A9CA-80DA934E058E}">
  <dimension ref="A1:EU94"/>
  <sheetViews>
    <sheetView zoomScale="70" zoomScaleNormal="70" workbookViewId="0">
      <selection activeCell="B6" sqref="B6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/>
    <col min="8" max="8" width="28.5234375" hidden="1"/>
    <col min="9" max="9" width="12.5234375" hidden="1"/>
    <col min="10" max="10" width="31" hidden="1"/>
    <col min="11" max="11" width="25.5234375" hidden="1"/>
    <col min="12" max="12" width="11.47265625" hidden="1"/>
    <col min="13" max="13" width="12.5234375" hidden="1"/>
    <col min="14" max="14" width="30.47265625" hidden="1"/>
    <col min="15" max="15" width="26.47265625" hidden="1"/>
    <col min="16" max="16" width="11" hidden="1"/>
    <col min="17" max="18" width="10.5234375" hidden="1"/>
    <col min="19" max="19" width="11.47265625" hidden="1"/>
    <col min="20" max="20" width="13.47265625" hidden="1"/>
    <col min="21" max="21" width="13.5234375" hidden="1"/>
    <col min="22" max="22" width="21.47265625" hidden="1"/>
    <col min="23" max="23" width="14.47265625" hidden="1"/>
    <col min="24" max="24" width="30.47265625" hidden="1"/>
    <col min="25" max="25" width="14.47265625" hidden="1"/>
    <col min="26" max="26" width="24.5234375" hidden="1"/>
    <col min="27" max="27" width="23.47265625" hidden="1"/>
    <col min="28" max="28" width="44.7890625" hidden="1"/>
    <col min="29" max="29" width="30.47265625" hidden="1"/>
    <col min="30" max="30" width="13.5234375" hidden="1"/>
    <col min="31" max="31" width="7.5234375" hidden="1"/>
    <col min="32" max="32" width="45.7890625" hidden="1"/>
    <col min="33" max="33" width="34.5234375" hidden="1"/>
    <col min="34" max="34" width="14" style="10" hidden="1"/>
    <col min="35" max="35" width="16.47265625" style="10" hidden="1"/>
    <col min="36" max="36" width="13.5234375" style="10" hidden="1"/>
    <col min="37" max="37" width="16.47265625" style="10" hidden="1"/>
    <col min="38" max="38" width="13.5234375" hidden="1"/>
    <col min="39" max="39" width="16.47265625" hidden="1"/>
    <col min="40" max="40" width="13.5234375" hidden="1"/>
    <col min="41" max="121" width="8.83984375" hidden="1"/>
    <col min="122" max="149" width="8.5234375" hidden="1"/>
    <col min="152" max="16384" width="8.83984375" hidden="1"/>
  </cols>
  <sheetData>
    <row r="1" spans="1:37" ht="15" customHeight="1" thickBot="1" x14ac:dyDescent="0.6">
      <c r="A1" s="142" t="s">
        <v>130</v>
      </c>
      <c r="B1" s="185" t="s">
        <v>131</v>
      </c>
      <c r="C1" s="185"/>
      <c r="D1" s="185"/>
      <c r="E1" s="185"/>
      <c r="F1" s="185"/>
    </row>
    <row r="2" spans="1:37" ht="15" customHeight="1" thickBot="1" x14ac:dyDescent="0.6">
      <c r="A2" s="83" t="s">
        <v>2</v>
      </c>
      <c r="B2" s="74" t="s">
        <v>132</v>
      </c>
      <c r="C2" s="80" t="s">
        <v>4</v>
      </c>
      <c r="D2" s="84" t="s">
        <v>5</v>
      </c>
      <c r="E2" s="85" t="s">
        <v>6</v>
      </c>
      <c r="F2" s="85" t="s">
        <v>4</v>
      </c>
    </row>
    <row r="3" spans="1:37" ht="15" customHeight="1" thickBot="1" x14ac:dyDescent="0.6">
      <c r="A3" s="86" t="s">
        <v>7</v>
      </c>
      <c r="B3" s="70">
        <v>12</v>
      </c>
      <c r="C3" s="77" t="s">
        <v>8</v>
      </c>
      <c r="D3" s="87" t="s">
        <v>9</v>
      </c>
      <c r="E3" s="97">
        <f>ROUND(IF(Y28=-1,"n/a",$AL$26),2)</f>
        <v>2.88</v>
      </c>
      <c r="F3" s="77" t="s">
        <v>10</v>
      </c>
    </row>
    <row r="4" spans="1:37" ht="15" customHeight="1" thickBot="1" x14ac:dyDescent="0.6">
      <c r="A4" s="88" t="s">
        <v>11</v>
      </c>
      <c r="B4" s="71">
        <v>2.5</v>
      </c>
      <c r="C4" s="78" t="s">
        <v>12</v>
      </c>
      <c r="D4" s="87" t="s">
        <v>13</v>
      </c>
      <c r="E4" s="98">
        <f>ROUND(IF(Y28=-1,"n/a",$AL$27),2)</f>
        <v>208.98</v>
      </c>
      <c r="F4" s="79" t="s">
        <v>14</v>
      </c>
    </row>
    <row r="5" spans="1:37" ht="15" customHeight="1" x14ac:dyDescent="0.55000000000000004">
      <c r="A5" s="89" t="s">
        <v>15</v>
      </c>
      <c r="B5" s="71" t="s">
        <v>16</v>
      </c>
      <c r="C5" s="78" t="s">
        <v>17</v>
      </c>
      <c r="D5" s="90"/>
      <c r="E5" s="90"/>
      <c r="F5" s="90"/>
    </row>
    <row r="6" spans="1:37" ht="15" customHeight="1" x14ac:dyDescent="0.55000000000000004">
      <c r="A6" s="91" t="s">
        <v>18</v>
      </c>
      <c r="B6" s="70" t="s">
        <v>19</v>
      </c>
      <c r="C6" s="78" t="s">
        <v>17</v>
      </c>
      <c r="D6" s="1"/>
      <c r="E6" s="1"/>
      <c r="F6" s="1"/>
    </row>
    <row r="7" spans="1:37" ht="15" customHeight="1" x14ac:dyDescent="0.55000000000000004">
      <c r="A7" s="91" t="s">
        <v>20</v>
      </c>
      <c r="B7" s="70">
        <v>100</v>
      </c>
      <c r="C7" s="78" t="s">
        <v>21</v>
      </c>
      <c r="D7" s="1"/>
      <c r="E7" s="1"/>
      <c r="F7" s="1"/>
    </row>
    <row r="8" spans="1:37" ht="15" customHeight="1" x14ac:dyDescent="0.55000000000000004">
      <c r="A8" s="88" t="str">
        <f>IF(B7=0,"Motor Phase Inductance [Ls]","-")</f>
        <v>-</v>
      </c>
      <c r="B8" s="70"/>
      <c r="C8" s="78" t="str">
        <f>IF(B7=0,"mH","-")</f>
        <v>-</v>
      </c>
      <c r="D8" s="1"/>
      <c r="E8" s="1"/>
      <c r="F8" s="1"/>
    </row>
    <row r="9" spans="1:37" ht="15" customHeight="1" x14ac:dyDescent="0.55000000000000004">
      <c r="A9" s="88" t="str">
        <f>IF(B7=0,"Motor Phase BEMF constant [Ke_ph(pk)]","-")</f>
        <v>-</v>
      </c>
      <c r="B9" s="70"/>
      <c r="C9" s="78" t="str">
        <f>IF(B7=0,"V/Hz","-")</f>
        <v>-</v>
      </c>
      <c r="D9" s="1"/>
      <c r="E9" s="1"/>
      <c r="F9" s="1"/>
    </row>
    <row r="10" spans="1:37" ht="15" customHeight="1" x14ac:dyDescent="0.55000000000000004">
      <c r="A10" s="88" t="s">
        <v>22</v>
      </c>
      <c r="B10" s="70">
        <v>133</v>
      </c>
      <c r="C10" s="77" t="s">
        <v>23</v>
      </c>
      <c r="D10" s="1"/>
      <c r="E10" s="1"/>
      <c r="F10" s="1"/>
    </row>
    <row r="11" spans="1:37" ht="15" customHeight="1" x14ac:dyDescent="0.55000000000000004">
      <c r="A11" s="86" t="s">
        <v>24</v>
      </c>
      <c r="B11" s="70">
        <v>75</v>
      </c>
      <c r="C11" s="78" t="s">
        <v>25</v>
      </c>
      <c r="D11" s="6"/>
      <c r="E11" s="6"/>
      <c r="F11" s="1"/>
    </row>
    <row r="12" spans="1:37" ht="15" customHeight="1" x14ac:dyDescent="0.55000000000000004">
      <c r="A12" s="92" t="s">
        <v>26</v>
      </c>
      <c r="B12" s="71">
        <v>50</v>
      </c>
      <c r="C12" s="78" t="s">
        <v>27</v>
      </c>
      <c r="D12" s="6"/>
      <c r="E12" s="6"/>
      <c r="F12" s="1"/>
    </row>
    <row r="13" spans="1:37" ht="15" customHeight="1" x14ac:dyDescent="0.55000000000000004">
      <c r="A13" s="93" t="s">
        <v>28</v>
      </c>
      <c r="B13" s="72">
        <v>5</v>
      </c>
      <c r="C13" s="78" t="s">
        <v>29</v>
      </c>
      <c r="D13" s="6"/>
      <c r="E13" s="6"/>
      <c r="F13" s="1"/>
      <c r="AH13"/>
      <c r="AI13"/>
      <c r="AJ13"/>
      <c r="AK13"/>
    </row>
    <row r="14" spans="1:37" ht="15" customHeight="1" thickBot="1" x14ac:dyDescent="0.6">
      <c r="A14" s="94" t="s">
        <v>30</v>
      </c>
      <c r="B14" s="73">
        <v>25</v>
      </c>
      <c r="C14" s="79" t="s">
        <v>14</v>
      </c>
      <c r="D14" s="6"/>
      <c r="E14" s="6"/>
      <c r="F14" s="1"/>
      <c r="AH14"/>
      <c r="AI14"/>
      <c r="AJ14"/>
      <c r="AK14"/>
    </row>
    <row r="15" spans="1:37" ht="15" customHeight="1" thickBot="1" x14ac:dyDescent="0.6">
      <c r="A15" s="95" t="s">
        <v>31</v>
      </c>
      <c r="B15" s="74"/>
      <c r="C15" s="80"/>
      <c r="D15" s="6"/>
      <c r="E15" s="6"/>
      <c r="F15" s="1"/>
      <c r="AH15"/>
      <c r="AI15"/>
      <c r="AJ15"/>
      <c r="AK15"/>
    </row>
    <row r="16" spans="1:37" ht="15" customHeight="1" x14ac:dyDescent="0.55000000000000004">
      <c r="A16" s="96" t="s">
        <v>32</v>
      </c>
      <c r="B16" s="75">
        <v>2</v>
      </c>
      <c r="C16" s="77" t="s">
        <v>33</v>
      </c>
      <c r="D16" s="6"/>
      <c r="E16" s="6"/>
      <c r="F16" s="1"/>
      <c r="AH16"/>
      <c r="AI16"/>
      <c r="AJ16"/>
      <c r="AK16"/>
    </row>
    <row r="17" spans="1:151" ht="29.2" customHeight="1" x14ac:dyDescent="0.55000000000000004">
      <c r="A17" s="92" t="s">
        <v>34</v>
      </c>
      <c r="B17" s="71">
        <v>1</v>
      </c>
      <c r="C17" s="81" t="s">
        <v>35</v>
      </c>
      <c r="D17" s="6"/>
      <c r="E17" s="6"/>
      <c r="F17" s="1"/>
      <c r="AH17"/>
      <c r="AI17"/>
      <c r="AJ17"/>
      <c r="AK17"/>
    </row>
    <row r="18" spans="1:151" ht="28.45" customHeight="1" thickBot="1" x14ac:dyDescent="0.6">
      <c r="A18" s="94" t="s">
        <v>36</v>
      </c>
      <c r="B18" s="76">
        <v>4</v>
      </c>
      <c r="C18" s="82" t="s">
        <v>37</v>
      </c>
      <c r="D18" s="6"/>
      <c r="E18" s="6"/>
      <c r="F18" s="1"/>
      <c r="AH18"/>
      <c r="AI18"/>
      <c r="AJ18"/>
      <c r="AK18"/>
    </row>
    <row r="19" spans="1:151" ht="28.45" customHeight="1" thickBot="1" x14ac:dyDescent="0.6">
      <c r="A19" s="194" t="s">
        <v>133</v>
      </c>
      <c r="B19" s="195"/>
      <c r="C19" s="196"/>
      <c r="D19" s="6"/>
      <c r="E19" s="6"/>
      <c r="F19" s="1"/>
      <c r="G19" s="1"/>
      <c r="AH19"/>
      <c r="AI19"/>
      <c r="AJ19"/>
      <c r="AK19"/>
      <c r="AO19" s="10"/>
    </row>
    <row r="20" spans="1:151" s="1" customFormat="1" ht="32.200000000000003" customHeight="1" x14ac:dyDescent="0.5500000000000000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 s="11"/>
      <c r="EU20"/>
    </row>
    <row r="21" spans="1:151" ht="22.5" customHeight="1" x14ac:dyDescent="0.55000000000000004">
      <c r="AH21"/>
      <c r="AI21"/>
      <c r="AJ21"/>
      <c r="AK21"/>
    </row>
    <row r="22" spans="1:151" ht="14.7" thickBot="1" x14ac:dyDescent="0.6">
      <c r="AA22" s="51" t="s">
        <v>39</v>
      </c>
      <c r="AB22" s="51" t="s">
        <v>6</v>
      </c>
      <c r="AC22" s="51" t="s">
        <v>4</v>
      </c>
      <c r="AH22"/>
      <c r="AI22"/>
      <c r="AJ22"/>
      <c r="AK22"/>
      <c r="AL22" s="10"/>
      <c r="AM22" s="10"/>
    </row>
    <row r="23" spans="1:151" ht="14.7" thickBot="1" x14ac:dyDescent="0.6">
      <c r="K23" s="6" t="s">
        <v>32</v>
      </c>
      <c r="L23" s="6" t="s">
        <v>40</v>
      </c>
      <c r="M23" s="6" t="s">
        <v>41</v>
      </c>
      <c r="N23" s="6" t="s">
        <v>36</v>
      </c>
      <c r="O23" s="6" t="s">
        <v>42</v>
      </c>
      <c r="P23" s="6" t="s">
        <v>43</v>
      </c>
      <c r="Q23" s="6" t="s">
        <v>44</v>
      </c>
      <c r="R23" s="6" t="s">
        <v>45</v>
      </c>
      <c r="S23" s="8" t="s">
        <v>46</v>
      </c>
      <c r="T23" s="8"/>
      <c r="V23" s="62" t="s">
        <v>47</v>
      </c>
      <c r="W23" s="63"/>
      <c r="X23" s="63"/>
      <c r="Y23" s="64"/>
      <c r="AA23" s="25" t="s">
        <v>48</v>
      </c>
      <c r="AB23" s="3">
        <v>1.4829000000000001</v>
      </c>
      <c r="AC23" s="3" t="s">
        <v>12</v>
      </c>
      <c r="AG23" s="65" t="s">
        <v>49</v>
      </c>
      <c r="AH23" s="66"/>
      <c r="AI23" s="65" t="s">
        <v>50</v>
      </c>
      <c r="AJ23" s="66"/>
      <c r="AK23" s="65" t="s">
        <v>51</v>
      </c>
      <c r="AL23" s="66"/>
      <c r="AM23" s="10"/>
    </row>
    <row r="24" spans="1:151" ht="14.7" thickBot="1" x14ac:dyDescent="0.6">
      <c r="K24" s="6">
        <v>2</v>
      </c>
      <c r="L24" s="6">
        <v>1</v>
      </c>
      <c r="M24" s="6">
        <v>1</v>
      </c>
      <c r="N24" s="26">
        <v>4</v>
      </c>
      <c r="O24" s="6">
        <v>25</v>
      </c>
      <c r="P24" s="6">
        <v>1.8</v>
      </c>
      <c r="Q24" s="6">
        <v>10</v>
      </c>
      <c r="R24" s="6" t="s">
        <v>52</v>
      </c>
      <c r="S24" s="8" t="s">
        <v>19</v>
      </c>
      <c r="T24" s="8"/>
      <c r="V24" s="17" t="s">
        <v>53</v>
      </c>
      <c r="W24" s="18" t="s">
        <v>54</v>
      </c>
      <c r="X24" s="18" t="s">
        <v>55</v>
      </c>
      <c r="Y24" s="19" t="s">
        <v>56</v>
      </c>
      <c r="AA24" s="25" t="s">
        <v>57</v>
      </c>
      <c r="AB24" s="3">
        <v>0.99</v>
      </c>
      <c r="AC24" s="3"/>
      <c r="AG24" s="29" t="s">
        <v>58</v>
      </c>
      <c r="AH24">
        <f>$AB$27+($AE$29*(B14-25))</f>
        <v>47.5</v>
      </c>
      <c r="AI24" s="29" t="s">
        <v>59</v>
      </c>
      <c r="AJ24">
        <f>$AB$27+($AE$29*(AH27-25))</f>
        <v>73.749425493823537</v>
      </c>
      <c r="AK24" s="29" t="s">
        <v>60</v>
      </c>
      <c r="AL24" s="57">
        <f>$AB$27+($AE$29*(AJ27-25))</f>
        <v>79.399553493823532</v>
      </c>
      <c r="AM24" s="58"/>
    </row>
    <row r="25" spans="1:151" ht="29.1" thickBot="1" x14ac:dyDescent="0.6">
      <c r="K25" s="6">
        <v>4</v>
      </c>
      <c r="L25" s="6">
        <v>2</v>
      </c>
      <c r="M25" s="6">
        <v>2</v>
      </c>
      <c r="N25" s="26">
        <v>8</v>
      </c>
      <c r="O25" s="6">
        <v>50</v>
      </c>
      <c r="P25" s="6">
        <v>1.1000000000000001</v>
      </c>
      <c r="Q25" s="6">
        <v>15</v>
      </c>
      <c r="R25" s="6" t="s">
        <v>16</v>
      </c>
      <c r="S25" s="8" t="s">
        <v>61</v>
      </c>
      <c r="T25" s="8"/>
      <c r="V25" s="14">
        <f>B17</f>
        <v>1</v>
      </c>
      <c r="W25" s="12" t="str">
        <f>IF(B16&gt;2,AB31,"")</f>
        <v/>
      </c>
      <c r="X25" s="12" t="str">
        <f>IF(B16&gt;2,AB31,"")</f>
        <v/>
      </c>
      <c r="Y25" s="15">
        <f>B17</f>
        <v>1</v>
      </c>
      <c r="AA25" s="25" t="s">
        <v>134</v>
      </c>
      <c r="AB25" s="3">
        <v>19.86</v>
      </c>
      <c r="AC25" s="3" t="s">
        <v>29</v>
      </c>
      <c r="AD25" t="s">
        <v>135</v>
      </c>
      <c r="AG25" s="30" t="s">
        <v>63</v>
      </c>
      <c r="AH25" s="9">
        <f>ROUND(3*$B$4*$B$4*AH24/(1000),3)</f>
        <v>0.89100000000000001</v>
      </c>
      <c r="AI25" s="30" t="s">
        <v>64</v>
      </c>
      <c r="AJ25" s="9">
        <f>ROUND(3*$B$4*$B$4*AJ24/(1000),3)</f>
        <v>1.383</v>
      </c>
      <c r="AK25" s="30" t="s">
        <v>65</v>
      </c>
      <c r="AL25" s="9">
        <f>ROUND(3*$B$4*$B$4*AL24/(1000),3)</f>
        <v>1.4890000000000001</v>
      </c>
      <c r="AM25" s="10"/>
    </row>
    <row r="26" spans="1:151" ht="29.1" hidden="1" thickBot="1" x14ac:dyDescent="0.6">
      <c r="A26" s="3"/>
      <c r="K26" s="6"/>
      <c r="L26" s="6">
        <v>3</v>
      </c>
      <c r="M26" s="6"/>
      <c r="N26" s="26">
        <v>16</v>
      </c>
      <c r="O26" s="6">
        <v>125</v>
      </c>
      <c r="P26" s="6">
        <v>0.65</v>
      </c>
      <c r="Q26" s="6">
        <v>20</v>
      </c>
      <c r="R26" s="6"/>
      <c r="S26" s="8"/>
      <c r="T26" s="8"/>
      <c r="U26" s="8"/>
      <c r="V26" s="67" t="s">
        <v>66</v>
      </c>
      <c r="W26" s="68"/>
      <c r="X26" s="69"/>
      <c r="Y26" s="33" t="s">
        <v>67</v>
      </c>
      <c r="AA26" s="25" t="s">
        <v>136</v>
      </c>
      <c r="AB26" s="45">
        <v>15.57</v>
      </c>
      <c r="AC26" s="3" t="s">
        <v>29</v>
      </c>
      <c r="AD26" t="s">
        <v>137</v>
      </c>
      <c r="AG26" s="30" t="s">
        <v>70</v>
      </c>
      <c r="AH26" s="9">
        <f>AH25+$AE$30</f>
        <v>2.2857388970588239</v>
      </c>
      <c r="AI26" s="30" t="s">
        <v>71</v>
      </c>
      <c r="AJ26" s="9">
        <f>AJ25+$AE$30</f>
        <v>2.7777388970588239</v>
      </c>
      <c r="AK26" s="31" t="s">
        <v>72</v>
      </c>
      <c r="AL26" s="32">
        <f>AL25+$AE$30</f>
        <v>2.8837388970588238</v>
      </c>
      <c r="AM26" s="10"/>
    </row>
    <row r="27" spans="1:151" ht="14.7" hidden="1" thickBot="1" x14ac:dyDescent="0.6">
      <c r="A27" s="3"/>
      <c r="K27" s="6"/>
      <c r="L27" s="6"/>
      <c r="M27" s="6"/>
      <c r="N27" s="26">
        <v>32</v>
      </c>
      <c r="O27" s="6">
        <v>200</v>
      </c>
      <c r="P27" s="6">
        <v>0.5</v>
      </c>
      <c r="Q27" s="6">
        <v>25</v>
      </c>
      <c r="R27" s="6"/>
      <c r="S27" s="8"/>
      <c r="T27" s="8"/>
      <c r="U27" s="8"/>
      <c r="V27" s="20" t="s">
        <v>73</v>
      </c>
      <c r="W27" s="21" t="s">
        <v>74</v>
      </c>
      <c r="X27" s="21" t="s">
        <v>75</v>
      </c>
      <c r="Y27" s="34" t="s">
        <v>76</v>
      </c>
      <c r="AA27" s="25" t="s">
        <v>77</v>
      </c>
      <c r="AB27" s="3">
        <v>47.5</v>
      </c>
      <c r="AC27" s="3" t="s">
        <v>78</v>
      </c>
      <c r="AG27" s="30" t="s">
        <v>79</v>
      </c>
      <c r="AH27" s="9">
        <f>$B$14+(AH26*$AB$32)</f>
        <v>170.83014163235296</v>
      </c>
      <c r="AI27" s="30" t="s">
        <v>80</v>
      </c>
      <c r="AJ27" s="9">
        <f>$B$14+(AJ26*$AB$32)</f>
        <v>202.21974163235296</v>
      </c>
      <c r="AK27" s="31" t="s">
        <v>81</v>
      </c>
      <c r="AL27" s="32">
        <f>$B$14+(AL26*$AB$32)</f>
        <v>208.98254163235296</v>
      </c>
      <c r="AM27" s="10"/>
    </row>
    <row r="28" spans="1:151" hidden="1" x14ac:dyDescent="0.55000000000000004">
      <c r="A28" s="3"/>
      <c r="K28" s="6"/>
      <c r="L28" s="6"/>
      <c r="M28" s="6"/>
      <c r="N28" s="26">
        <v>64</v>
      </c>
      <c r="O28" s="6"/>
      <c r="P28" s="6"/>
      <c r="Q28" s="6">
        <v>30</v>
      </c>
      <c r="R28" s="6"/>
      <c r="S28" s="8"/>
      <c r="T28" s="8"/>
      <c r="U28" s="8"/>
      <c r="V28" s="14" t="str">
        <f>_xlfn.TEXTJOIN(",",TRUE,V25:Y25)</f>
        <v>1,1</v>
      </c>
      <c r="W28" s="12">
        <f>B18</f>
        <v>4</v>
      </c>
      <c r="X28" s="12"/>
      <c r="Y28" s="15">
        <f>VLOOKUP(W28&amp;V28,U31:X55,4,FALSE)</f>
        <v>63.8</v>
      </c>
      <c r="AA28" s="28" t="s">
        <v>138</v>
      </c>
      <c r="AB28" s="8">
        <v>70</v>
      </c>
      <c r="AC28" s="8" t="s">
        <v>78</v>
      </c>
      <c r="AH28"/>
      <c r="AI28"/>
      <c r="AJ28"/>
      <c r="AK28"/>
      <c r="AL28" s="10"/>
      <c r="AM28" s="10"/>
    </row>
    <row r="29" spans="1:151" hidden="1" x14ac:dyDescent="0.55000000000000004">
      <c r="A29" s="24"/>
      <c r="B29" s="24"/>
      <c r="C29" s="24"/>
      <c r="K29" s="5"/>
      <c r="L29" s="5"/>
      <c r="Q29" s="6">
        <v>35</v>
      </c>
      <c r="V29" s="59" t="s">
        <v>83</v>
      </c>
      <c r="W29" s="60"/>
      <c r="X29" s="60"/>
      <c r="Y29" s="61"/>
      <c r="AA29" s="25" t="s">
        <v>30</v>
      </c>
      <c r="AB29" s="3">
        <v>25</v>
      </c>
      <c r="AC29" s="3" t="s">
        <v>84</v>
      </c>
      <c r="AD29" t="s">
        <v>85</v>
      </c>
      <c r="AE29" s="43">
        <f>(AB28-AB27)/(150-25)</f>
        <v>0.18</v>
      </c>
      <c r="AH29"/>
      <c r="AI29"/>
      <c r="AJ29"/>
      <c r="AK29"/>
      <c r="AL29" s="10"/>
      <c r="AM29" s="10"/>
    </row>
    <row r="30" spans="1:151" ht="86.4" hidden="1" x14ac:dyDescent="0.55000000000000004">
      <c r="A30" s="3"/>
      <c r="K30" s="5"/>
      <c r="L30" s="5"/>
      <c r="Q30" s="6">
        <v>40</v>
      </c>
      <c r="U30" s="4" t="s">
        <v>86</v>
      </c>
      <c r="V30" s="102" t="s">
        <v>87</v>
      </c>
      <c r="W30" s="103" t="s">
        <v>73</v>
      </c>
      <c r="X30" s="104" t="s">
        <v>88</v>
      </c>
      <c r="Y30" s="22"/>
      <c r="AA30" s="25" t="s">
        <v>89</v>
      </c>
      <c r="AB30" s="3">
        <v>1.25</v>
      </c>
      <c r="AC30" s="3" t="s">
        <v>90</v>
      </c>
      <c r="AD30" s="27" t="s">
        <v>91</v>
      </c>
      <c r="AE30" s="35">
        <f>AB41+AB45+AB46+AB48+AB49+AB50+AB58</f>
        <v>1.3947388970588239</v>
      </c>
      <c r="AH30"/>
      <c r="AI30"/>
      <c r="AJ30"/>
      <c r="AK30"/>
      <c r="AL30" s="10"/>
      <c r="AM30" s="10"/>
    </row>
    <row r="31" spans="1:151" hidden="1" x14ac:dyDescent="0.55000000000000004">
      <c r="A31" s="23"/>
      <c r="K31" s="5"/>
      <c r="L31" s="5"/>
      <c r="Q31" s="6">
        <v>45</v>
      </c>
      <c r="U31" s="4" t="str">
        <f t="shared" ref="U31:U55" si="0">V31&amp;W31</f>
        <v>41,1</v>
      </c>
      <c r="V31" s="14">
        <v>4</v>
      </c>
      <c r="W31" s="12" t="s">
        <v>92</v>
      </c>
      <c r="X31" s="99">
        <v>63.8</v>
      </c>
      <c r="Y31" s="13"/>
      <c r="AA31" s="25" t="str">
        <f>IF(B16&gt;2,"Internal Layers Cu Thickness","")</f>
        <v/>
      </c>
      <c r="AB31" s="3">
        <v>1</v>
      </c>
      <c r="AC31" s="3" t="str">
        <f>IF(B16&gt;2,"oz","")</f>
        <v/>
      </c>
      <c r="AH31"/>
      <c r="AI31"/>
      <c r="AJ31"/>
      <c r="AK31"/>
      <c r="AL31" s="10"/>
      <c r="AM31" s="10"/>
    </row>
    <row r="32" spans="1:151" hidden="1" x14ac:dyDescent="0.55000000000000004">
      <c r="A32" s="3"/>
      <c r="K32" s="5"/>
      <c r="L32" s="5"/>
      <c r="Q32" s="6">
        <v>50</v>
      </c>
      <c r="U32" s="4" t="str">
        <f t="shared" si="0"/>
        <v>42,2</v>
      </c>
      <c r="V32" s="14">
        <v>4</v>
      </c>
      <c r="W32" s="12" t="s">
        <v>93</v>
      </c>
      <c r="X32" s="100">
        <v>58.4</v>
      </c>
      <c r="Y32" s="15"/>
      <c r="AA32" s="25" t="s">
        <v>94</v>
      </c>
      <c r="AB32" s="3">
        <f>Y28</f>
        <v>63.8</v>
      </c>
      <c r="AC32" s="3" t="s">
        <v>95</v>
      </c>
      <c r="AH32"/>
      <c r="AI32"/>
      <c r="AJ32"/>
      <c r="AK32"/>
      <c r="AL32" s="10"/>
      <c r="AM32" s="10"/>
      <c r="EU32" s="1"/>
    </row>
    <row r="33" spans="1:151" hidden="1" x14ac:dyDescent="0.55000000000000004">
      <c r="A33" s="3"/>
      <c r="G33" s="1"/>
      <c r="K33" s="5"/>
      <c r="L33" s="5"/>
      <c r="Q33" s="6">
        <v>55</v>
      </c>
      <c r="U33" s="4" t="str">
        <f t="shared" si="0"/>
        <v>41,1,1,1</v>
      </c>
      <c r="V33" s="14">
        <v>4</v>
      </c>
      <c r="W33" s="12" t="s">
        <v>96</v>
      </c>
      <c r="X33" s="99">
        <v>54.2</v>
      </c>
      <c r="Y33" s="15"/>
      <c r="AA33" s="51" t="s">
        <v>39</v>
      </c>
      <c r="AB33" s="51" t="s">
        <v>6</v>
      </c>
      <c r="AC33" s="51" t="s">
        <v>4</v>
      </c>
      <c r="AH33"/>
      <c r="AI33"/>
      <c r="AJ33"/>
      <c r="AK33"/>
      <c r="AL33" s="10"/>
      <c r="AM33" s="10"/>
    </row>
    <row r="34" spans="1:151" s="1" customFormat="1" hidden="1" x14ac:dyDescent="0.55000000000000004">
      <c r="D34" s="6"/>
      <c r="E34" s="6"/>
      <c r="G34"/>
      <c r="H34"/>
      <c r="I34"/>
      <c r="J34"/>
      <c r="K34" s="5"/>
      <c r="L34" s="5"/>
      <c r="M34"/>
      <c r="N34"/>
      <c r="O34"/>
      <c r="P34"/>
      <c r="Q34" s="6">
        <v>60</v>
      </c>
      <c r="R34"/>
      <c r="S34"/>
      <c r="T34"/>
      <c r="U34" s="4" t="str">
        <f t="shared" si="0"/>
        <v>42,1,1,2</v>
      </c>
      <c r="V34" s="14">
        <v>4</v>
      </c>
      <c r="W34" s="12" t="s">
        <v>97</v>
      </c>
      <c r="X34" s="99">
        <v>52.4</v>
      </c>
      <c r="Y34" s="15"/>
      <c r="Z34"/>
      <c r="AA34" s="25" t="s">
        <v>98</v>
      </c>
      <c r="AB34" s="3">
        <f>ROUND((B3/SQRT(3))*AB24,2)</f>
        <v>6.86</v>
      </c>
      <c r="AC34" s="3" t="s">
        <v>8</v>
      </c>
      <c r="AD34"/>
      <c r="AE34"/>
      <c r="AF34"/>
      <c r="AG34"/>
      <c r="AH34"/>
      <c r="AI34"/>
      <c r="AJ34"/>
      <c r="AK34"/>
      <c r="AL34" s="10"/>
      <c r="AM34" s="10"/>
      <c r="AN34"/>
      <c r="EU34"/>
    </row>
    <row r="35" spans="1:151" ht="28.8" hidden="1" x14ac:dyDescent="0.55000000000000004">
      <c r="A35" s="3"/>
      <c r="K35" s="5"/>
      <c r="L35" s="5"/>
      <c r="Q35" s="6">
        <v>65</v>
      </c>
      <c r="U35" s="4" t="str">
        <f t="shared" si="0"/>
        <v>81,1</v>
      </c>
      <c r="V35" s="14">
        <v>8</v>
      </c>
      <c r="W35" s="12" t="s">
        <v>92</v>
      </c>
      <c r="X35" s="99">
        <v>52.7</v>
      </c>
      <c r="Y35" s="15"/>
      <c r="AA35" s="25" t="s">
        <v>99</v>
      </c>
      <c r="AB35" s="3">
        <f>ROUND(AB34/1.41,2)</f>
        <v>4.87</v>
      </c>
      <c r="AC35" s="3" t="s">
        <v>8</v>
      </c>
      <c r="AF35" s="1"/>
      <c r="AG35" s="1"/>
      <c r="AH35" s="1"/>
      <c r="AI35" s="1"/>
      <c r="AJ35" s="1"/>
      <c r="AK35" s="1"/>
      <c r="AL35" s="11"/>
      <c r="AM35" s="11"/>
    </row>
    <row r="36" spans="1:151" hidden="1" x14ac:dyDescent="0.55000000000000004">
      <c r="A36" s="3"/>
      <c r="K36" s="5"/>
      <c r="L36" s="5"/>
      <c r="Q36" s="6">
        <v>70</v>
      </c>
      <c r="U36" s="4" t="str">
        <f t="shared" si="0"/>
        <v>82,2</v>
      </c>
      <c r="V36" s="14">
        <v>8</v>
      </c>
      <c r="W36" s="12" t="s">
        <v>93</v>
      </c>
      <c r="X36" s="100">
        <v>46.2</v>
      </c>
      <c r="Y36" s="15"/>
      <c r="AA36" s="25"/>
      <c r="AB36" s="3"/>
      <c r="AC36" s="3"/>
      <c r="AH36"/>
      <c r="AI36"/>
      <c r="AJ36"/>
      <c r="AK36"/>
      <c r="AL36" s="10"/>
      <c r="AM36" s="10"/>
    </row>
    <row r="37" spans="1:151" hidden="1" x14ac:dyDescent="0.55000000000000004">
      <c r="A37" s="3"/>
      <c r="K37" s="5"/>
      <c r="L37" s="5"/>
      <c r="Q37" s="6">
        <v>75</v>
      </c>
      <c r="U37" s="4" t="str">
        <f t="shared" si="0"/>
        <v>81,1,1,1</v>
      </c>
      <c r="V37" s="14">
        <v>8</v>
      </c>
      <c r="W37" s="12" t="s">
        <v>96</v>
      </c>
      <c r="X37" s="99">
        <v>42.5</v>
      </c>
      <c r="Y37" s="15"/>
      <c r="AA37" s="25" t="s">
        <v>100</v>
      </c>
      <c r="AB37" s="3">
        <f>B4/0.816</f>
        <v>3.0637254901960786</v>
      </c>
      <c r="AC37" s="3" t="s">
        <v>12</v>
      </c>
      <c r="AH37"/>
      <c r="AI37"/>
      <c r="AJ37"/>
      <c r="AK37"/>
      <c r="AL37" s="10"/>
      <c r="AM37" s="10"/>
    </row>
    <row r="38" spans="1:151" hidden="1" x14ac:dyDescent="0.55000000000000004">
      <c r="A38" s="3"/>
      <c r="K38" s="5"/>
      <c r="L38" s="5"/>
      <c r="Q38" s="6">
        <v>80</v>
      </c>
      <c r="U38" s="4" t="str">
        <f t="shared" si="0"/>
        <v>82,1,1,2</v>
      </c>
      <c r="V38" s="14">
        <v>8</v>
      </c>
      <c r="W38" s="12" t="s">
        <v>97</v>
      </c>
      <c r="X38" s="99">
        <v>40.6</v>
      </c>
      <c r="Y38" s="15"/>
      <c r="AA38" s="28" t="s">
        <v>101</v>
      </c>
      <c r="AB38" s="8">
        <f>B3/B12</f>
        <v>0.24</v>
      </c>
      <c r="AC38" s="8" t="s">
        <v>21</v>
      </c>
      <c r="AH38"/>
      <c r="AI38"/>
      <c r="AJ38"/>
      <c r="AK38"/>
      <c r="AL38" s="10"/>
      <c r="AM38" s="10"/>
    </row>
    <row r="39" spans="1:151" ht="43.2" hidden="1" x14ac:dyDescent="0.55000000000000004">
      <c r="A39" s="3"/>
      <c r="K39" s="5"/>
      <c r="L39" s="5"/>
      <c r="Q39" s="6">
        <v>85</v>
      </c>
      <c r="U39" s="4" t="str">
        <f t="shared" si="0"/>
        <v>161,1</v>
      </c>
      <c r="V39" s="14">
        <v>16</v>
      </c>
      <c r="W39" s="12" t="s">
        <v>92</v>
      </c>
      <c r="X39" s="99">
        <v>45.9</v>
      </c>
      <c r="Y39" s="15"/>
      <c r="AA39" s="28" t="s">
        <v>102</v>
      </c>
      <c r="AB39" s="8">
        <f>VLOOKUP(B12,O24:P27,2,FALSE)</f>
        <v>1.1000000000000001</v>
      </c>
      <c r="AC39" s="8" t="s">
        <v>21</v>
      </c>
      <c r="AH39"/>
      <c r="AI39"/>
      <c r="AJ39"/>
      <c r="AK39"/>
      <c r="AL39" s="10"/>
      <c r="AM39" s="10"/>
    </row>
    <row r="40" spans="1:151" hidden="1" x14ac:dyDescent="0.55000000000000004">
      <c r="A40" s="3"/>
      <c r="K40" s="5"/>
      <c r="L40" s="5"/>
      <c r="Q40" s="6">
        <v>90</v>
      </c>
      <c r="U40" s="4" t="str">
        <f t="shared" si="0"/>
        <v>162,2</v>
      </c>
      <c r="V40" s="14">
        <v>16</v>
      </c>
      <c r="W40" s="12" t="s">
        <v>93</v>
      </c>
      <c r="X40" s="100">
        <v>38.1</v>
      </c>
      <c r="Y40" s="16"/>
      <c r="AA40" s="47" t="s">
        <v>103</v>
      </c>
      <c r="AB40" s="24" t="s">
        <v>6</v>
      </c>
      <c r="AC40" s="24" t="s">
        <v>4</v>
      </c>
      <c r="AH40"/>
      <c r="AI40"/>
      <c r="AJ40"/>
      <c r="AK40"/>
      <c r="AL40" s="10"/>
      <c r="AM40" s="10"/>
    </row>
    <row r="41" spans="1:151" hidden="1" x14ac:dyDescent="0.55000000000000004">
      <c r="A41" s="3"/>
      <c r="K41" s="5"/>
      <c r="L41" s="5"/>
      <c r="Q41" s="6">
        <v>95</v>
      </c>
      <c r="U41" s="4" t="str">
        <f t="shared" si="0"/>
        <v>161,1,1,1</v>
      </c>
      <c r="V41" s="14">
        <v>16</v>
      </c>
      <c r="W41" s="12" t="s">
        <v>96</v>
      </c>
      <c r="X41" s="99">
        <v>34.5</v>
      </c>
      <c r="Y41" s="15"/>
      <c r="AA41" s="25" t="s">
        <v>104</v>
      </c>
      <c r="AB41" s="46">
        <f>B3*IF(B3&gt;6.01,AB26,AB25)/1000</f>
        <v>0.18684000000000001</v>
      </c>
      <c r="AC41" s="3"/>
      <c r="AH41"/>
      <c r="AI41"/>
      <c r="AJ41"/>
      <c r="AK41"/>
      <c r="AL41" s="10"/>
      <c r="AM41" s="10"/>
    </row>
    <row r="42" spans="1:151" hidden="1" x14ac:dyDescent="0.55000000000000004">
      <c r="A42" s="3"/>
      <c r="K42" s="5"/>
      <c r="L42" s="5"/>
      <c r="Q42" s="6">
        <v>100</v>
      </c>
      <c r="U42" s="4" t="str">
        <f t="shared" si="0"/>
        <v>162,1,1,2</v>
      </c>
      <c r="V42" s="14">
        <v>16</v>
      </c>
      <c r="W42" s="12" t="s">
        <v>97</v>
      </c>
      <c r="X42" s="99">
        <v>32.299999999999997</v>
      </c>
      <c r="Y42" s="15"/>
      <c r="AA42" s="25"/>
      <c r="AB42" s="3"/>
      <c r="AC42" s="3"/>
      <c r="AH42"/>
      <c r="AI42"/>
      <c r="AJ42"/>
      <c r="AK42"/>
      <c r="AL42" s="10"/>
      <c r="AM42" s="10"/>
    </row>
    <row r="43" spans="1:151" hidden="1" x14ac:dyDescent="0.55000000000000004">
      <c r="A43" s="3"/>
      <c r="K43" s="5"/>
      <c r="L43" s="5"/>
      <c r="Q43" s="6">
        <v>105</v>
      </c>
      <c r="U43" s="4" t="str">
        <f t="shared" si="0"/>
        <v>321,1</v>
      </c>
      <c r="V43" s="14">
        <v>32</v>
      </c>
      <c r="W43" s="12" t="s">
        <v>92</v>
      </c>
      <c r="X43" s="99">
        <v>42.1</v>
      </c>
      <c r="Y43" s="15"/>
      <c r="AA43" s="47" t="s">
        <v>105</v>
      </c>
      <c r="AB43" s="24" t="s">
        <v>6</v>
      </c>
      <c r="AC43" s="24" t="s">
        <v>4</v>
      </c>
      <c r="AH43"/>
      <c r="AI43"/>
      <c r="AJ43"/>
      <c r="AK43"/>
      <c r="AL43" s="10"/>
      <c r="AM43" s="10"/>
    </row>
    <row r="44" spans="1:151" hidden="1" x14ac:dyDescent="0.55000000000000004">
      <c r="A44" s="3"/>
      <c r="K44" s="5"/>
      <c r="L44" s="5"/>
      <c r="Q44" s="6">
        <v>110</v>
      </c>
      <c r="U44" s="4" t="str">
        <f t="shared" si="0"/>
        <v>322,2</v>
      </c>
      <c r="V44" s="14">
        <v>32</v>
      </c>
      <c r="W44" s="12" t="s">
        <v>93</v>
      </c>
      <c r="X44" s="100">
        <v>33.200000000000003</v>
      </c>
      <c r="Y44" s="15"/>
      <c r="AA44" s="48" t="s">
        <v>106</v>
      </c>
      <c r="AB44" s="45">
        <f>ROUND(2*AB37*AB37*AL24/(1000),3)</f>
        <v>1.4910000000000001</v>
      </c>
      <c r="AC44" s="3" t="s">
        <v>10</v>
      </c>
      <c r="AD44" s="44" t="s">
        <v>107</v>
      </c>
      <c r="AH44"/>
      <c r="AI44"/>
      <c r="AJ44"/>
      <c r="AK44"/>
      <c r="AL44" s="10"/>
      <c r="AM44" s="10"/>
    </row>
    <row r="45" spans="1:151" hidden="1" x14ac:dyDescent="0.55000000000000004">
      <c r="A45" s="3"/>
      <c r="K45" s="5"/>
      <c r="L45" s="5"/>
      <c r="Q45" s="6">
        <v>115</v>
      </c>
      <c r="U45" s="4" t="str">
        <f t="shared" si="0"/>
        <v>321,1,1,1</v>
      </c>
      <c r="V45" s="14">
        <v>32</v>
      </c>
      <c r="W45" s="12" t="s">
        <v>96</v>
      </c>
      <c r="X45" s="99">
        <v>29.5</v>
      </c>
      <c r="Y45" s="15"/>
      <c r="AA45" s="48" t="s">
        <v>108</v>
      </c>
      <c r="AB45" s="46">
        <f>ROUND(B3*AB37*AB38/1000000*B11*1000,3)</f>
        <v>0.66200000000000003</v>
      </c>
      <c r="AC45" s="3" t="s">
        <v>10</v>
      </c>
      <c r="AD45" s="44" t="s">
        <v>109</v>
      </c>
      <c r="AH45"/>
      <c r="AI45"/>
      <c r="AJ45"/>
      <c r="AK45"/>
      <c r="AL45" s="10"/>
      <c r="AM45" s="10"/>
    </row>
    <row r="46" spans="1:151" hidden="1" x14ac:dyDescent="0.55000000000000004">
      <c r="A46" s="3"/>
      <c r="K46" s="5"/>
      <c r="L46" s="5"/>
      <c r="Q46" s="6">
        <v>120</v>
      </c>
      <c r="U46" s="4" t="str">
        <f t="shared" si="0"/>
        <v>322,1,1,2</v>
      </c>
      <c r="V46" s="14">
        <v>32</v>
      </c>
      <c r="W46" s="12" t="s">
        <v>97</v>
      </c>
      <c r="X46" s="99">
        <v>27</v>
      </c>
      <c r="Y46" s="15"/>
      <c r="AA46" s="48" t="s">
        <v>110</v>
      </c>
      <c r="AB46" s="46">
        <f>AB30*5*B11*0.000000001*1000</f>
        <v>4.6875000000000004E-4</v>
      </c>
      <c r="AC46" s="3" t="s">
        <v>10</v>
      </c>
      <c r="AD46" s="43" t="s">
        <v>111</v>
      </c>
      <c r="AH46"/>
      <c r="AI46"/>
      <c r="AJ46"/>
      <c r="AK46"/>
      <c r="AL46" s="10"/>
      <c r="AM46" s="10"/>
    </row>
    <row r="47" spans="1:151" hidden="1" x14ac:dyDescent="0.55000000000000004">
      <c r="A47" s="3"/>
      <c r="K47" s="5"/>
      <c r="L47" s="5"/>
      <c r="Q47" s="6">
        <v>125</v>
      </c>
      <c r="U47" s="4" t="str">
        <f t="shared" si="0"/>
        <v>641,1</v>
      </c>
      <c r="V47" s="14">
        <v>64</v>
      </c>
      <c r="W47" s="12" t="s">
        <v>92</v>
      </c>
      <c r="X47" s="99">
        <v>40.200000000000003</v>
      </c>
      <c r="Y47" s="15"/>
      <c r="AA47" s="48" t="s">
        <v>112</v>
      </c>
      <c r="AB47" s="45">
        <f>AB44+AB45+AB46</f>
        <v>2.15346875</v>
      </c>
      <c r="AC47" s="3" t="s">
        <v>10</v>
      </c>
      <c r="AH47"/>
      <c r="AI47"/>
      <c r="AJ47"/>
      <c r="AK47"/>
      <c r="AL47" s="10"/>
      <c r="AM47" s="10"/>
    </row>
    <row r="48" spans="1:151" hidden="1" x14ac:dyDescent="0.55000000000000004">
      <c r="A48" s="3"/>
      <c r="K48" s="5"/>
      <c r="L48" s="5"/>
      <c r="Q48" s="6">
        <v>130</v>
      </c>
      <c r="U48" s="4" t="str">
        <f t="shared" si="0"/>
        <v>642,2</v>
      </c>
      <c r="V48" s="14">
        <v>64</v>
      </c>
      <c r="W48" s="12" t="s">
        <v>93</v>
      </c>
      <c r="X48" s="100">
        <v>30.4</v>
      </c>
      <c r="Y48" s="15"/>
      <c r="AA48" s="49" t="s">
        <v>113</v>
      </c>
      <c r="AB48" s="55">
        <f>2*0.7*AB37*B11*1000*AB39/1000000</f>
        <v>0.35386029411764713</v>
      </c>
      <c r="AC48" s="3" t="s">
        <v>10</v>
      </c>
      <c r="AD48" s="44" t="s">
        <v>114</v>
      </c>
      <c r="AH48"/>
      <c r="AI48"/>
      <c r="AJ48"/>
      <c r="AK48"/>
      <c r="AL48" s="10"/>
      <c r="AM48" s="10"/>
    </row>
    <row r="49" spans="1:151" hidden="1" x14ac:dyDescent="0.55000000000000004">
      <c r="A49" s="3"/>
      <c r="K49" s="5"/>
      <c r="L49" s="5"/>
      <c r="Q49" s="6">
        <v>135</v>
      </c>
      <c r="U49" s="4" t="str">
        <f t="shared" si="0"/>
        <v>641,1,1,1</v>
      </c>
      <c r="V49" s="14">
        <v>64</v>
      </c>
      <c r="W49" s="12" t="s">
        <v>96</v>
      </c>
      <c r="X49" s="99">
        <v>26.6</v>
      </c>
      <c r="Y49" s="15"/>
      <c r="AA49" s="50" t="s">
        <v>115</v>
      </c>
      <c r="AB49" s="55">
        <f>(B3-3.3)*B13*0.001</f>
        <v>4.3500000000000004E-2</v>
      </c>
      <c r="AC49" s="3" t="s">
        <v>10</v>
      </c>
      <c r="AD49" s="43" t="s">
        <v>116</v>
      </c>
      <c r="AH49"/>
      <c r="AI49"/>
      <c r="AJ49"/>
      <c r="AK49"/>
      <c r="AL49" s="10"/>
      <c r="AM49" s="10"/>
    </row>
    <row r="50" spans="1:151" hidden="1" x14ac:dyDescent="0.55000000000000004">
      <c r="A50" s="24"/>
      <c r="B50" s="24"/>
      <c r="C50" s="24"/>
      <c r="F50" s="5"/>
      <c r="K50" s="5"/>
      <c r="L50" s="5"/>
      <c r="Q50" s="6">
        <v>140</v>
      </c>
      <c r="U50" s="4" t="str">
        <f t="shared" si="0"/>
        <v>642,1,1,2</v>
      </c>
      <c r="V50" s="36">
        <v>64</v>
      </c>
      <c r="W50" s="37" t="s">
        <v>97</v>
      </c>
      <c r="X50" s="101">
        <v>23.9</v>
      </c>
      <c r="Y50" s="38"/>
      <c r="AA50" s="49" t="s">
        <v>117</v>
      </c>
      <c r="AB50" s="55">
        <v>6.25E-2</v>
      </c>
      <c r="AC50" s="3" t="s">
        <v>10</v>
      </c>
      <c r="AD50" t="s">
        <v>118</v>
      </c>
      <c r="AH50"/>
      <c r="AI50"/>
      <c r="AJ50"/>
      <c r="AK50"/>
      <c r="AL50" s="10"/>
      <c r="AM50" s="10"/>
    </row>
    <row r="51" spans="1:151" hidden="1" x14ac:dyDescent="0.55000000000000004">
      <c r="A51" s="25"/>
      <c r="E51" s="3"/>
      <c r="F51" s="3"/>
      <c r="K51" s="5"/>
      <c r="L51" s="5"/>
      <c r="Q51" s="6">
        <v>145</v>
      </c>
      <c r="U51" s="40" t="str">
        <f t="shared" si="0"/>
        <v>43,1,1,3</v>
      </c>
      <c r="V51" s="39">
        <v>4</v>
      </c>
      <c r="W51" s="12" t="s">
        <v>119</v>
      </c>
      <c r="X51" s="99">
        <v>51.1</v>
      </c>
      <c r="Y51" s="41"/>
      <c r="AA51" s="25"/>
      <c r="AB51" s="3"/>
      <c r="AC51" s="3"/>
      <c r="AH51"/>
      <c r="AI51"/>
      <c r="AJ51"/>
      <c r="AK51"/>
      <c r="AL51" s="10"/>
      <c r="AM51" s="10"/>
    </row>
    <row r="52" spans="1:151" hidden="1" x14ac:dyDescent="0.55000000000000004">
      <c r="A52" s="3"/>
      <c r="F52" s="5"/>
      <c r="Q52" s="6">
        <v>150</v>
      </c>
      <c r="U52" s="40" t="str">
        <f t="shared" si="0"/>
        <v>83,1,1,3</v>
      </c>
      <c r="V52" s="39">
        <v>8</v>
      </c>
      <c r="W52" s="12" t="s">
        <v>119</v>
      </c>
      <c r="X52" s="99">
        <v>39</v>
      </c>
      <c r="Y52" s="41"/>
      <c r="AA52" s="51" t="s">
        <v>39</v>
      </c>
      <c r="AB52" s="51" t="s">
        <v>6</v>
      </c>
      <c r="AC52" s="51" t="s">
        <v>4</v>
      </c>
      <c r="AH52"/>
      <c r="AI52"/>
      <c r="AJ52"/>
      <c r="AK52"/>
      <c r="AL52" s="10"/>
      <c r="AM52" s="10"/>
    </row>
    <row r="53" spans="1:151" hidden="1" x14ac:dyDescent="0.55000000000000004">
      <c r="A53" s="23"/>
      <c r="K53" s="5"/>
      <c r="Q53" s="6">
        <v>155</v>
      </c>
      <c r="U53" s="40" t="str">
        <f t="shared" si="0"/>
        <v>163,1,1,3</v>
      </c>
      <c r="V53" s="39">
        <v>16</v>
      </c>
      <c r="W53" s="12" t="s">
        <v>119</v>
      </c>
      <c r="X53" s="99">
        <v>30.6</v>
      </c>
      <c r="Y53" s="41"/>
      <c r="AA53" s="4" t="s">
        <v>120</v>
      </c>
      <c r="AH53"/>
      <c r="AI53"/>
      <c r="AJ53"/>
      <c r="AK53"/>
      <c r="AL53" s="10"/>
      <c r="AM53" s="10"/>
      <c r="EU53" s="4"/>
    </row>
    <row r="54" spans="1:151" hidden="1" x14ac:dyDescent="0.55000000000000004">
      <c r="A54" s="24"/>
      <c r="B54" s="24"/>
      <c r="C54" s="24"/>
      <c r="G54" s="4"/>
      <c r="Q54" s="6">
        <v>160</v>
      </c>
      <c r="U54" s="40" t="str">
        <f t="shared" si="0"/>
        <v>323,1,1,3</v>
      </c>
      <c r="V54" s="39">
        <v>32</v>
      </c>
      <c r="W54" s="12" t="s">
        <v>119</v>
      </c>
      <c r="X54" s="99">
        <v>25.1</v>
      </c>
      <c r="Y54" s="41"/>
      <c r="AA54" s="25" t="s">
        <v>121</v>
      </c>
      <c r="AB54" s="3">
        <f>B9*B10</f>
        <v>0</v>
      </c>
      <c r="AC54" s="3" t="s">
        <v>8</v>
      </c>
      <c r="AD54" s="10"/>
      <c r="AE54" s="10"/>
      <c r="AH54"/>
      <c r="AI54"/>
      <c r="AJ54"/>
      <c r="AK54"/>
      <c r="AL54" s="10"/>
      <c r="AM54" s="10"/>
      <c r="EU54" s="4"/>
    </row>
    <row r="55" spans="1:151" s="4" customFormat="1" ht="43.5" hidden="1" thickBot="1" x14ac:dyDescent="0.6">
      <c r="A55" s="25"/>
      <c r="D55" s="7"/>
      <c r="E55" s="7"/>
      <c r="H55"/>
      <c r="I55"/>
      <c r="J55"/>
      <c r="K55"/>
      <c r="L55"/>
      <c r="M55"/>
      <c r="N55"/>
      <c r="O55"/>
      <c r="P55"/>
      <c r="Q55" s="6">
        <v>165</v>
      </c>
      <c r="R55"/>
      <c r="S55"/>
      <c r="T55"/>
      <c r="U55" s="40" t="str">
        <f t="shared" si="0"/>
        <v>643,1,1,3</v>
      </c>
      <c r="V55" s="105">
        <v>64</v>
      </c>
      <c r="W55" s="37" t="s">
        <v>119</v>
      </c>
      <c r="X55" s="101">
        <v>21.7</v>
      </c>
      <c r="Y55" s="42"/>
      <c r="Z55"/>
      <c r="AA55" s="28" t="s">
        <v>122</v>
      </c>
      <c r="AB55" s="8">
        <f>IF(B7=0,IF(B6="Wye",(AB37*3*B8*1000)/(B3+(2*AB54)),(AB37*B8*1000)/(B3+AB54)),B7)</f>
        <v>100</v>
      </c>
      <c r="AC55" s="8" t="s">
        <v>21</v>
      </c>
      <c r="AD55" s="50" t="s">
        <v>123</v>
      </c>
      <c r="AE55" s="52" t="s">
        <v>124</v>
      </c>
      <c r="AF55"/>
      <c r="AG55" s="53"/>
      <c r="AH55"/>
      <c r="AI55"/>
      <c r="AJ55"/>
      <c r="AK55"/>
      <c r="AL55" s="10"/>
      <c r="AM55" s="10"/>
      <c r="AN55"/>
      <c r="EU55"/>
    </row>
    <row r="56" spans="1:151" s="4" customFormat="1" ht="43.2" hidden="1" x14ac:dyDescent="0.55000000000000004">
      <c r="A56" s="24"/>
      <c r="B56" s="24"/>
      <c r="C56" s="24"/>
      <c r="D56" s="7"/>
      <c r="E56" s="7"/>
      <c r="G56"/>
      <c r="H56"/>
      <c r="I56"/>
      <c r="J56"/>
      <c r="Q56" s="6">
        <v>170</v>
      </c>
      <c r="AA56" s="25" t="s">
        <v>125</v>
      </c>
      <c r="AB56" s="3">
        <f>6*(1/2)*0.7*AB37*AB55/1000000*B10</f>
        <v>8.5569852941176472E-2</v>
      </c>
      <c r="AC56" s="3" t="s">
        <v>10</v>
      </c>
      <c r="AD56" s="45" t="s">
        <v>126</v>
      </c>
      <c r="AE56" s="54"/>
      <c r="AG56" s="54"/>
      <c r="AN56"/>
      <c r="EU56"/>
    </row>
    <row r="57" spans="1:151" ht="57.6" hidden="1" x14ac:dyDescent="0.55000000000000004">
      <c r="A57" s="24"/>
      <c r="K57" s="4"/>
      <c r="L57" s="4"/>
      <c r="M57" s="4"/>
      <c r="N57" s="4"/>
      <c r="O57" s="4"/>
      <c r="P57" s="4"/>
      <c r="Q57" s="6">
        <v>175</v>
      </c>
      <c r="R57" s="4"/>
      <c r="S57" s="4"/>
      <c r="T57" s="4"/>
      <c r="U57" s="4"/>
      <c r="V57" s="4"/>
      <c r="W57" s="4"/>
      <c r="X57" s="4"/>
      <c r="Y57" s="4"/>
      <c r="Z57" s="4"/>
      <c r="AA57" s="25" t="s">
        <v>127</v>
      </c>
      <c r="AB57" s="3">
        <f>6*(1/3)*AB37*AB37*AH24/1000*AB55/1000000*B10</f>
        <v>1.1859733936466745E-2</v>
      </c>
      <c r="AC57" s="3" t="s">
        <v>10</v>
      </c>
      <c r="AD57" s="48" t="s">
        <v>128</v>
      </c>
      <c r="AE57" s="54"/>
      <c r="AF57" s="4"/>
      <c r="AG57" s="54"/>
      <c r="AH57" s="4"/>
      <c r="AI57" s="4"/>
      <c r="AJ57" s="4"/>
      <c r="AK57" s="4"/>
      <c r="AL57" s="4"/>
      <c r="AM57" s="4"/>
    </row>
    <row r="58" spans="1:151" hidden="1" x14ac:dyDescent="0.55000000000000004">
      <c r="A58" s="3"/>
      <c r="Q58" s="6">
        <v>180</v>
      </c>
      <c r="AA58" s="25" t="s">
        <v>129</v>
      </c>
      <c r="AB58" s="56">
        <f>IF($B$5="No",AB56,AB57)</f>
        <v>8.5569852941176472E-2</v>
      </c>
      <c r="AC58" s="3" t="s">
        <v>10</v>
      </c>
      <c r="AH58"/>
      <c r="AI58"/>
      <c r="AJ58"/>
      <c r="AK58"/>
      <c r="AL58" s="10"/>
      <c r="AM58" s="10"/>
      <c r="EO58" s="10"/>
      <c r="EP58" s="10"/>
      <c r="EQ58" s="10"/>
      <c r="ER58" s="10"/>
    </row>
    <row r="59" spans="1:151" hidden="1" x14ac:dyDescent="0.55000000000000004">
      <c r="A59" s="3"/>
      <c r="Q59" s="6">
        <v>185</v>
      </c>
      <c r="AH59"/>
      <c r="AI59"/>
      <c r="AJ59"/>
      <c r="AK59"/>
      <c r="EO59" s="10"/>
      <c r="EP59" s="10"/>
      <c r="EQ59" s="10"/>
      <c r="ER59" s="10"/>
    </row>
    <row r="60" spans="1:151" hidden="1" x14ac:dyDescent="0.55000000000000004">
      <c r="A60" s="3"/>
      <c r="Q60" s="6">
        <v>190</v>
      </c>
      <c r="AH60"/>
      <c r="AI60"/>
      <c r="AJ60"/>
      <c r="AK60"/>
      <c r="EO60" s="10"/>
      <c r="EP60" s="10"/>
      <c r="EQ60" s="10"/>
      <c r="ER60" s="10"/>
    </row>
    <row r="61" spans="1:151" hidden="1" x14ac:dyDescent="0.55000000000000004">
      <c r="A61" s="3"/>
      <c r="Q61" s="6">
        <v>195</v>
      </c>
      <c r="AH61"/>
      <c r="AI61"/>
      <c r="AJ61"/>
      <c r="AK61"/>
      <c r="EO61" s="10"/>
      <c r="EP61" s="10"/>
      <c r="EQ61" s="10"/>
      <c r="ER61" s="10"/>
    </row>
    <row r="62" spans="1:151" hidden="1" x14ac:dyDescent="0.55000000000000004">
      <c r="A62" s="3"/>
      <c r="Q62" s="6">
        <v>200</v>
      </c>
      <c r="EM62" s="10"/>
      <c r="EN62" s="10"/>
      <c r="EO62" s="10"/>
      <c r="EP62" s="10"/>
    </row>
    <row r="63" spans="1:151" hidden="1" x14ac:dyDescent="0.55000000000000004">
      <c r="A63" s="3"/>
      <c r="EM63" s="10"/>
      <c r="EN63" s="10"/>
      <c r="EO63" s="10"/>
      <c r="EP63" s="10"/>
    </row>
    <row r="64" spans="1:151" hidden="1" x14ac:dyDescent="0.55000000000000004">
      <c r="A64" s="3"/>
      <c r="EM64" s="10"/>
      <c r="EN64" s="10"/>
      <c r="EO64" s="10"/>
      <c r="EP64" s="10"/>
    </row>
    <row r="65" spans="1:1" hidden="1" x14ac:dyDescent="0.55000000000000004">
      <c r="A65" s="3"/>
    </row>
    <row r="66" spans="1:1" ht="43.5" hidden="1" customHeight="1" x14ac:dyDescent="0.55000000000000004">
      <c r="A66" s="3"/>
    </row>
    <row r="67" spans="1:1" hidden="1" x14ac:dyDescent="0.55000000000000004">
      <c r="A67" s="3"/>
    </row>
    <row r="68" spans="1:1" hidden="1" x14ac:dyDescent="0.55000000000000004">
      <c r="A68" s="3"/>
    </row>
    <row r="69" spans="1:1" hidden="1" x14ac:dyDescent="0.55000000000000004">
      <c r="A69" s="3"/>
    </row>
    <row r="70" spans="1:1" hidden="1" x14ac:dyDescent="0.55000000000000004">
      <c r="A70" s="3"/>
    </row>
    <row r="71" spans="1:1" hidden="1" x14ac:dyDescent="0.55000000000000004">
      <c r="A71" s="3"/>
    </row>
    <row r="72" spans="1:1" hidden="1" x14ac:dyDescent="0.55000000000000004">
      <c r="A72" s="3"/>
    </row>
    <row r="73" spans="1:1" hidden="1" x14ac:dyDescent="0.55000000000000004">
      <c r="A73" s="3"/>
    </row>
    <row r="74" spans="1:1" hidden="1" x14ac:dyDescent="0.55000000000000004">
      <c r="A74" s="3"/>
    </row>
    <row r="75" spans="1:1" hidden="1" x14ac:dyDescent="0.55000000000000004">
      <c r="A75" s="3"/>
    </row>
    <row r="76" spans="1:1" hidden="1" x14ac:dyDescent="0.55000000000000004">
      <c r="A76" s="3"/>
    </row>
    <row r="77" spans="1:1" hidden="1" x14ac:dyDescent="0.55000000000000004">
      <c r="A77" s="3"/>
    </row>
    <row r="78" spans="1:1" hidden="1" x14ac:dyDescent="0.55000000000000004">
      <c r="A78" s="3"/>
    </row>
    <row r="79" spans="1:1" hidden="1" x14ac:dyDescent="0.55000000000000004">
      <c r="A79" s="3"/>
    </row>
    <row r="80" spans="1:1" hidden="1" x14ac:dyDescent="0.55000000000000004">
      <c r="A80" s="3"/>
    </row>
    <row r="81" spans="1:33" hidden="1" x14ac:dyDescent="0.55000000000000004">
      <c r="A81" s="3"/>
    </row>
    <row r="82" spans="1:33" hidden="1" x14ac:dyDescent="0.55000000000000004">
      <c r="A82" s="3"/>
    </row>
    <row r="83" spans="1:33" hidden="1" x14ac:dyDescent="0.55000000000000004">
      <c r="A83" s="3"/>
    </row>
    <row r="84" spans="1:33" hidden="1" x14ac:dyDescent="0.55000000000000004">
      <c r="A84" s="3"/>
    </row>
    <row r="85" spans="1:33" hidden="1" x14ac:dyDescent="0.55000000000000004">
      <c r="A85" s="3"/>
    </row>
    <row r="86" spans="1:33" hidden="1" x14ac:dyDescent="0.55000000000000004">
      <c r="A86" s="3"/>
    </row>
    <row r="87" spans="1:33" hidden="1" x14ac:dyDescent="0.55000000000000004">
      <c r="A87" s="3"/>
    </row>
    <row r="88" spans="1:33" hidden="1" x14ac:dyDescent="0.55000000000000004">
      <c r="A88" s="3"/>
    </row>
    <row r="89" spans="1:33" hidden="1" x14ac:dyDescent="0.55000000000000004">
      <c r="A89" s="3"/>
    </row>
    <row r="90" spans="1:33" hidden="1" x14ac:dyDescent="0.55000000000000004">
      <c r="A90" s="3"/>
    </row>
    <row r="91" spans="1:33" hidden="1" x14ac:dyDescent="0.55000000000000004">
      <c r="A91" s="3"/>
    </row>
    <row r="92" spans="1:33" hidden="1" x14ac:dyDescent="0.55000000000000004">
      <c r="AG92" s="5"/>
    </row>
    <row r="93" spans="1:33" hidden="1" x14ac:dyDescent="0.55000000000000004">
      <c r="AG93" s="5"/>
    </row>
    <row r="94" spans="1:33" hidden="1" x14ac:dyDescent="0.55000000000000004">
      <c r="AG94" s="5"/>
    </row>
  </sheetData>
  <sheetProtection algorithmName="SHA-512" hashValue="6ZKH8IKOlABYpsShoGlk/jwTPKBGda0a9Yz9BJZf6IuMpn3fw1YND7FNfPWUADkCFgRaazQhL/QWkbiXTbqqBQ==" saltValue="zLc7bTW1uDVR8ROq9wkQWw==" spinCount="100000" sheet="1" objects="1" scenarios="1"/>
  <mergeCells count="2">
    <mergeCell ref="B1:F1"/>
    <mergeCell ref="A19:C19"/>
  </mergeCells>
  <conditionalFormatting sqref="E4">
    <cfRule type="cellIs" dxfId="39" priority="1" operator="lessThan">
      <formula>125</formula>
    </cfRule>
    <cfRule type="cellIs" dxfId="38" priority="2" operator="greaterThan">
      <formula>125</formula>
    </cfRule>
  </conditionalFormatting>
  <dataValidations count="19">
    <dataValidation type="decimal" allowBlank="1" showInputMessage="1" showErrorMessage="1" error="This current is outside the operating range of the DRV8316" prompt="Enter an RMS current between 0 and 6.53 amps" sqref="B4" xr:uid="{40D4A556-C54A-475C-8A7A-9A0F42E598F2}">
      <formula1>0</formula1>
      <formula2>6.53</formula2>
    </dataValidation>
    <dataValidation type="list" allowBlank="1" showInputMessage="1" showErrorMessage="1" prompt="Select copper thickness of top/bottom layers (oz)" sqref="AB31 AJ23" xr:uid="{CEC03310-B700-4A77-94AB-CFDDCFEFE849}">
      <formula1>$L$24:$L$25</formula1>
    </dataValidation>
    <dataValidation type="list" allowBlank="1" showInputMessage="1" showErrorMessage="1" prompt="Select copper thickness of internal layers if more than 2 layer PCB (oz)" sqref="AB31" xr:uid="{2B8F43E6-C9E8-4199-B7C0-455D714F1260}">
      <formula1>$M$24:$M$25</formula1>
    </dataValidation>
    <dataValidation type="decimal" allowBlank="1" showInputMessage="1" showErrorMessage="1" error="This voltage is outside the operating range of the DRV8316" prompt="Enter a motor supply voltage between 4.5 to 35 volts" sqref="B3" xr:uid="{542DF59C-F371-49C1-A1DD-9204EAFD64EB}">
      <formula1>4.5</formula1>
      <formula2>35</formula2>
    </dataValidation>
    <dataValidation allowBlank="1" showInputMessage="1" showErrorMessage="1" prompt="Enter the operating ambient temperature" sqref="AB29" xr:uid="{B37DCA3F-048E-4BE6-9FCE-89FEE7F5FA5F}"/>
    <dataValidation allowBlank="1" showInputMessage="1" showErrorMessage="1" prompt="Enter the motor's electrical frequency in Hz" sqref="B10" xr:uid="{0F7F7ECB-4AFB-45B2-ADD2-61ABF02A2C4B}"/>
    <dataValidation allowBlank="1" showInputMessage="1" showErrorMessage="1" prompt="Enter the motor phase's Back-EMF constant (Ke_ph)" sqref="B9" xr:uid="{9D75DA03-4DF7-459C-A2A6-309335D1531F}"/>
    <dataValidation allowBlank="1" showInputMessage="1" showErrorMessage="1" prompt="Enter the motor's phase inductance in mH" sqref="B8" xr:uid="{611BE085-E373-4C3D-9EDC-A84E6BC5C172}"/>
    <dataValidation allowBlank="1" showInputMessage="1" showErrorMessage="1" prompt="Enter the motor's commutation time (tcomm) as shown on the diagram to the right. If unknown, enter &quot;0&quot;" sqref="B7" xr:uid="{E02D3CF5-5095-4C32-8331-4161C65D90FD}"/>
    <dataValidation type="list" allowBlank="1" showInputMessage="1" showErrorMessage="1" prompt="Select copper thickness of top/bottom layers (oz)" sqref="B18" xr:uid="{A652AA96-2B52-450E-983F-804344672C89}">
      <formula1>$N$24:$N$28</formula1>
    </dataValidation>
    <dataValidation type="list" allowBlank="1" showInputMessage="1" showErrorMessage="1" error="This PWM frequency is outside of the operating range of the DRV8316" prompt="Select a PWM frequency between 10kHz and 200kHz" sqref="B11" xr:uid="{022D5D73-E89C-4C44-9F4E-9C2CD0DE0A14}">
      <formula1>$Q$24:$Q$62</formula1>
    </dataValidation>
    <dataValidation type="list" allowBlank="1" showInputMessage="1" showErrorMessage="1" prompt="Select # of PCB Layers" sqref="B16" xr:uid="{6BE9A394-E76C-4D20-B65E-CA476F3255A7}">
      <formula1>$K$24:$K$25</formula1>
    </dataValidation>
    <dataValidation type="list" allowBlank="1" showInputMessage="1" showErrorMessage="1" prompt="Select PCB area (cm2)" sqref="B18" xr:uid="{EBC15807-2F91-4E26-933D-0947B65AFE0A}">
      <formula1>$N$24:$N$28</formula1>
    </dataValidation>
    <dataValidation type="list" allowBlank="1" showInputMessage="1" showErrorMessage="1" prompt="Select an output slew rate setting (V/us)" sqref="B12" xr:uid="{2C635D5D-0481-4893-9751-8AC7C76C1E45}">
      <formula1>$O$24:$O$27</formula1>
    </dataValidation>
    <dataValidation type="list" allowBlank="1" showInputMessage="1" showErrorMessage="1" prompt="Select yes or no if active demag is enabled" sqref="B5" xr:uid="{35494892-B66C-4699-AD9D-0FEF67E964FB}">
      <formula1>$R$24:$R$25</formula1>
    </dataValidation>
    <dataValidation type="list" allowBlank="1" showInputMessage="1" showErrorMessage="1" prompt="Select wye or delta motor configuration" sqref="B6" xr:uid="{35C944BB-4ACC-4A69-B9C4-E4180B4B6EBA}">
      <formula1>$S$24:$S$25</formula1>
    </dataValidation>
    <dataValidation type="list" allowBlank="1" showInputMessage="1" showErrorMessage="1" prompt="Select copper thickness of top/bottom layers (oz)" sqref="B17" xr:uid="{92A9C5A5-2740-447B-B38A-C1A24EE0FEA6}">
      <formula1>$L$24:$L$26</formula1>
    </dataValidation>
    <dataValidation type="decimal" allowBlank="1" showInputMessage="1" showErrorMessage="1" error="AVDD output current out of range" prompt="Enter the AVDD output load current between 0 to 20 mA" sqref="B13" xr:uid="{89B7179C-2F72-49C9-8639-A5D37B875ECB}">
      <formula1>0</formula1>
      <formula2>20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4" xr:uid="{CE811B3F-8207-4A78-8D1A-05B20DED29DD}">
      <formula1>-40</formula1>
      <formula2>125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C54F-F780-46F5-B82C-1CE35D80C157}">
  <dimension ref="A1:AK87"/>
  <sheetViews>
    <sheetView zoomScale="55" zoomScaleNormal="55" workbookViewId="0">
      <selection activeCell="A16" sqref="A16:XFD1048576"/>
    </sheetView>
  </sheetViews>
  <sheetFormatPr defaultColWidth="0" defaultRowHeight="14.4" zeroHeight="1" x14ac:dyDescent="0.55000000000000004"/>
  <cols>
    <col min="1" max="1" width="56.4726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/>
    <col min="8" max="8" width="28.5234375" hidden="1"/>
    <col min="9" max="9" width="24.5234375" hidden="1"/>
    <col min="10" max="10" width="10.47265625" hidden="1"/>
    <col min="11" max="13" width="10.5234375" hidden="1"/>
    <col min="14" max="14" width="14.5234375" hidden="1"/>
    <col min="15" max="15" width="13.7890625" hidden="1"/>
    <col min="16" max="16" width="8.5234375" hidden="1"/>
    <col min="17" max="17" width="14.5234375" hidden="1"/>
    <col min="18" max="18" width="19.47265625" hidden="1"/>
    <col min="19" max="19" width="12.47265625" hidden="1"/>
    <col min="20" max="20" width="19.7890625" hidden="1"/>
    <col min="21" max="21" width="19.15625" hidden="1"/>
    <col min="22" max="22" width="8.83984375" hidden="1"/>
    <col min="23" max="23" width="22.5234375" hidden="1"/>
    <col min="24" max="24" width="12.47265625" hidden="1"/>
    <col min="25" max="25" width="15.47265625" hidden="1"/>
    <col min="26" max="26" width="33" hidden="1"/>
    <col min="27" max="27" width="15.5234375" hidden="1"/>
    <col min="28" max="28" width="14.5234375" hidden="1"/>
    <col min="29" max="29" width="14.47265625" hidden="1"/>
    <col min="30" max="30" width="12.47265625" hidden="1"/>
    <col min="31" max="31" width="15.15625" hidden="1"/>
    <col min="32" max="32" width="13.47265625" hidden="1"/>
    <col min="33" max="33" width="15.47265625" hidden="1"/>
    <col min="34" max="34" width="13.47265625" style="10" hidden="1"/>
    <col min="35" max="35" width="10.47265625" style="10" hidden="1"/>
    <col min="36" max="36" width="16.7890625" style="10" hidden="1"/>
    <col min="37" max="37" width="16.5234375" style="10" hidden="1"/>
    <col min="38" max="16384" width="8.83984375" hidden="1"/>
  </cols>
  <sheetData>
    <row r="1" spans="1:37" ht="14.7" thickBot="1" x14ac:dyDescent="0.6">
      <c r="A1" s="142" t="s">
        <v>139</v>
      </c>
      <c r="B1" s="185" t="s">
        <v>131</v>
      </c>
      <c r="C1" s="185"/>
      <c r="D1" s="185"/>
      <c r="E1" s="185"/>
      <c r="F1" s="185"/>
    </row>
    <row r="2" spans="1:37" ht="14.5" customHeight="1" thickBot="1" x14ac:dyDescent="0.6">
      <c r="A2" s="106" t="s">
        <v>2</v>
      </c>
      <c r="B2" s="107" t="s">
        <v>132</v>
      </c>
      <c r="C2" s="108" t="s">
        <v>4</v>
      </c>
      <c r="D2" s="109" t="s">
        <v>5</v>
      </c>
      <c r="E2" s="110" t="s">
        <v>6</v>
      </c>
      <c r="F2" s="110" t="s">
        <v>4</v>
      </c>
    </row>
    <row r="3" spans="1:37" ht="14.5" customHeight="1" thickBot="1" x14ac:dyDescent="0.6">
      <c r="A3" s="86" t="s">
        <v>7</v>
      </c>
      <c r="B3" s="111">
        <v>24</v>
      </c>
      <c r="C3" s="112" t="s">
        <v>8</v>
      </c>
      <c r="D3" s="66" t="s">
        <v>9</v>
      </c>
      <c r="E3" s="113">
        <f>ROUND(IF(U20=-1,"n/a",$AH$18),2)</f>
        <v>1.53</v>
      </c>
      <c r="F3" s="112" t="s">
        <v>10</v>
      </c>
    </row>
    <row r="4" spans="1:37" ht="14.5" customHeight="1" thickBot="1" x14ac:dyDescent="0.6">
      <c r="A4" s="88" t="s">
        <v>140</v>
      </c>
      <c r="B4" s="114">
        <v>2</v>
      </c>
      <c r="C4" s="115" t="s">
        <v>12</v>
      </c>
      <c r="D4" s="66" t="s">
        <v>13</v>
      </c>
      <c r="E4" s="3">
        <f>ROUND(IF(U20=-1,"n/a",$AH$19),2)</f>
        <v>74.430000000000007</v>
      </c>
      <c r="F4" s="112" t="s">
        <v>84</v>
      </c>
    </row>
    <row r="5" spans="1:37" ht="14.5" customHeight="1" x14ac:dyDescent="0.55000000000000004">
      <c r="A5" s="116" t="s">
        <v>141</v>
      </c>
      <c r="B5" s="114" t="s">
        <v>142</v>
      </c>
      <c r="C5" s="115"/>
      <c r="D5" s="117"/>
      <c r="E5" s="117"/>
      <c r="F5" s="117"/>
    </row>
    <row r="6" spans="1:37" ht="14.5" customHeight="1" x14ac:dyDescent="0.55000000000000004">
      <c r="A6" s="86" t="s">
        <v>24</v>
      </c>
      <c r="B6" s="111">
        <v>20</v>
      </c>
      <c r="C6" s="112" t="s">
        <v>25</v>
      </c>
    </row>
    <row r="7" spans="1:37" ht="14.5" customHeight="1" x14ac:dyDescent="0.55000000000000004">
      <c r="A7" s="92" t="s">
        <v>26</v>
      </c>
      <c r="B7" s="114">
        <v>200</v>
      </c>
      <c r="C7" s="115" t="s">
        <v>27</v>
      </c>
    </row>
    <row r="8" spans="1:37" ht="14.5" customHeight="1" x14ac:dyDescent="0.55000000000000004">
      <c r="A8" s="93" t="s">
        <v>28</v>
      </c>
      <c r="B8" s="72">
        <v>5</v>
      </c>
      <c r="C8" s="78" t="s">
        <v>29</v>
      </c>
      <c r="W8" s="25" t="s">
        <v>134</v>
      </c>
      <c r="X8" s="3">
        <v>10</v>
      </c>
      <c r="Y8" s="3" t="s">
        <v>29</v>
      </c>
      <c r="Z8" t="s">
        <v>135</v>
      </c>
    </row>
    <row r="9" spans="1:37" ht="14.5" customHeight="1" thickBot="1" x14ac:dyDescent="0.6">
      <c r="A9" s="118" t="s">
        <v>30</v>
      </c>
      <c r="B9" s="73">
        <v>25</v>
      </c>
      <c r="C9" s="119" t="s">
        <v>14</v>
      </c>
      <c r="W9" s="25" t="s">
        <v>136</v>
      </c>
      <c r="X9" s="45">
        <v>17</v>
      </c>
      <c r="Y9" s="3" t="s">
        <v>29</v>
      </c>
      <c r="Z9" t="s">
        <v>135</v>
      </c>
      <c r="AA9" s="24"/>
      <c r="AB9" s="3"/>
      <c r="AC9" s="5"/>
    </row>
    <row r="10" spans="1:37" ht="14.5" customHeight="1" thickBot="1" x14ac:dyDescent="0.6">
      <c r="A10" s="120" t="s">
        <v>31</v>
      </c>
      <c r="B10" s="107"/>
      <c r="C10" s="108"/>
    </row>
    <row r="11" spans="1:37" ht="34.450000000000003" customHeight="1" x14ac:dyDescent="0.55000000000000004">
      <c r="A11" s="121" t="s">
        <v>32</v>
      </c>
      <c r="B11" s="122">
        <v>4</v>
      </c>
      <c r="C11" s="112" t="s">
        <v>33</v>
      </c>
    </row>
    <row r="12" spans="1:37" ht="14.5" customHeight="1" x14ac:dyDescent="0.55000000000000004">
      <c r="A12" s="123" t="s">
        <v>34</v>
      </c>
      <c r="B12" s="114">
        <v>2</v>
      </c>
      <c r="C12" s="124" t="s">
        <v>35</v>
      </c>
    </row>
    <row r="13" spans="1:37" s="1" customFormat="1" ht="25.5" customHeight="1" thickBot="1" x14ac:dyDescent="0.6">
      <c r="A13" s="118" t="s">
        <v>36</v>
      </c>
      <c r="B13" s="125">
        <v>16</v>
      </c>
      <c r="C13" s="12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6" t="s">
        <v>143</v>
      </c>
      <c r="B14" s="187"/>
      <c r="C14" s="188"/>
      <c r="D14" s="1"/>
      <c r="E14" s="1"/>
      <c r="F14" s="1"/>
      <c r="W14" s="137" t="s">
        <v>39</v>
      </c>
      <c r="X14" s="138" t="s">
        <v>6</v>
      </c>
      <c r="Y14" s="138" t="s">
        <v>4</v>
      </c>
    </row>
    <row r="15" spans="1:37" ht="14.7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9" t="s">
        <v>47</v>
      </c>
      <c r="S15" s="190"/>
      <c r="T15" s="190"/>
      <c r="U15" s="191"/>
      <c r="W15" s="28" t="s">
        <v>48</v>
      </c>
      <c r="X15" s="8">
        <v>1.4829000000000001</v>
      </c>
      <c r="Y15" s="8" t="s">
        <v>12</v>
      </c>
      <c r="AC15" s="192" t="s">
        <v>49</v>
      </c>
      <c r="AD15" s="193"/>
      <c r="AE15" s="192" t="s">
        <v>50</v>
      </c>
      <c r="AF15" s="193"/>
      <c r="AG15" s="192" t="s">
        <v>51</v>
      </c>
      <c r="AH15" s="193"/>
    </row>
    <row r="16" spans="1:37" ht="14.7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25</v>
      </c>
      <c r="L16" s="6">
        <v>1.8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47.5</v>
      </c>
      <c r="AE16" s="29" t="s">
        <v>59</v>
      </c>
      <c r="AF16">
        <f>$X$19+($AA$19*(AD19-25))</f>
        <v>55.78187827</v>
      </c>
      <c r="AG16" s="29" t="s">
        <v>60</v>
      </c>
      <c r="AH16">
        <f>$X$19+($AA$19*(AF19-25))</f>
        <v>56.357464270000001</v>
      </c>
    </row>
    <row r="17" spans="1:37" ht="29.1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50</v>
      </c>
      <c r="L17" s="6">
        <v>1.1000000000000001</v>
      </c>
      <c r="M17" s="6">
        <v>15</v>
      </c>
      <c r="N17" s="6" t="s">
        <v>142</v>
      </c>
      <c r="O17" s="8"/>
      <c r="P17" s="8"/>
      <c r="R17" s="14">
        <f>B12</f>
        <v>2</v>
      </c>
      <c r="S17" s="12">
        <f>IF(B11&gt;2,X23,"")</f>
        <v>1</v>
      </c>
      <c r="T17" s="12">
        <f>IF(B11&gt;2,X23,"")</f>
        <v>1</v>
      </c>
      <c r="U17" s="15">
        <f>B12</f>
        <v>2</v>
      </c>
      <c r="W17" s="25" t="s">
        <v>134</v>
      </c>
      <c r="X17" s="3">
        <v>19.86</v>
      </c>
      <c r="Y17" s="3" t="s">
        <v>29</v>
      </c>
      <c r="Z17" t="s">
        <v>135</v>
      </c>
      <c r="AC17" s="30" t="s">
        <v>63</v>
      </c>
      <c r="AD17" s="9">
        <f>ROUND(3*$B$4*$B$4*AD16/(1000),3)</f>
        <v>0.56999999999999995</v>
      </c>
      <c r="AE17" s="30" t="s">
        <v>64</v>
      </c>
      <c r="AF17" s="9">
        <f>ROUND(3*$B$4*$B$4*AF16/(1000),3)</f>
        <v>0.66900000000000004</v>
      </c>
      <c r="AG17" s="30" t="s">
        <v>65</v>
      </c>
      <c r="AH17" s="9">
        <f>ROUND(3*$B$4*$B$4*AH16/(1000),3)</f>
        <v>0.67600000000000005</v>
      </c>
    </row>
    <row r="18" spans="1:37" ht="29.1" hidden="1" thickBot="1" x14ac:dyDescent="0.6">
      <c r="G18" s="6"/>
      <c r="H18" s="6">
        <v>3</v>
      </c>
      <c r="I18" s="6"/>
      <c r="J18" s="26">
        <v>16</v>
      </c>
      <c r="K18" s="6">
        <v>125</v>
      </c>
      <c r="L18" s="6">
        <v>0.65</v>
      </c>
      <c r="M18" s="6">
        <v>20</v>
      </c>
      <c r="N18" s="6"/>
      <c r="O18" s="8"/>
      <c r="P18" s="8"/>
      <c r="Q18" s="8"/>
      <c r="R18" s="179" t="s">
        <v>66</v>
      </c>
      <c r="S18" s="180"/>
      <c r="T18" s="181"/>
      <c r="U18" s="33" t="s">
        <v>67</v>
      </c>
      <c r="W18" s="25" t="s">
        <v>136</v>
      </c>
      <c r="X18" s="45">
        <v>15.57</v>
      </c>
      <c r="Y18" s="3" t="s">
        <v>29</v>
      </c>
      <c r="Z18" t="s">
        <v>135</v>
      </c>
      <c r="AC18" s="30" t="s">
        <v>70</v>
      </c>
      <c r="AD18" s="9">
        <f>AD17+$AA$20</f>
        <v>1.4244716666666666</v>
      </c>
      <c r="AE18" s="30" t="s">
        <v>71</v>
      </c>
      <c r="AF18" s="9">
        <f>AF17+$AA$20</f>
        <v>1.5234716666666666</v>
      </c>
      <c r="AG18" s="31" t="s">
        <v>72</v>
      </c>
      <c r="AH18" s="32">
        <f>AH17+$AA$20</f>
        <v>1.5304716666666667</v>
      </c>
    </row>
    <row r="19" spans="1:37" ht="14.7" hidden="1" thickBot="1" x14ac:dyDescent="0.6">
      <c r="G19" s="6"/>
      <c r="H19" s="6"/>
      <c r="I19" s="6"/>
      <c r="J19" s="26">
        <v>32</v>
      </c>
      <c r="K19" s="6">
        <v>200</v>
      </c>
      <c r="L19" s="6">
        <v>0.5</v>
      </c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47.5</v>
      </c>
      <c r="Y19" s="8" t="s">
        <v>78</v>
      </c>
      <c r="Z19" t="s">
        <v>85</v>
      </c>
      <c r="AA19">
        <f>(X20-X19)/(150-25)</f>
        <v>0.18</v>
      </c>
      <c r="AC19" s="30" t="s">
        <v>79</v>
      </c>
      <c r="AD19" s="9">
        <f>$B$9+(AD18*$X$24)</f>
        <v>71.010434833333335</v>
      </c>
      <c r="AE19" s="30" t="s">
        <v>80</v>
      </c>
      <c r="AF19" s="9">
        <f>$B$9+(AF18*$X$24)</f>
        <v>74.208134833333332</v>
      </c>
      <c r="AG19" s="31" t="s">
        <v>81</v>
      </c>
      <c r="AH19" s="32">
        <f>$B$9+(AH18*$X$24)</f>
        <v>74.434234833333335</v>
      </c>
    </row>
    <row r="20" spans="1:37" ht="43.2" hidden="1" x14ac:dyDescent="0.55000000000000004">
      <c r="A20" s="3"/>
      <c r="G20" s="6"/>
      <c r="H20" s="6"/>
      <c r="I20" s="6"/>
      <c r="J20" s="26">
        <v>64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2,1,1,2</v>
      </c>
      <c r="S20" s="12">
        <f>B13</f>
        <v>16</v>
      </c>
      <c r="T20" s="12"/>
      <c r="U20" s="15">
        <f>VLOOKUP(S20&amp;R20,Q23:T47,4,FALSE)</f>
        <v>32.299999999999997</v>
      </c>
      <c r="W20" s="28" t="s">
        <v>82</v>
      </c>
      <c r="X20" s="8">
        <v>70</v>
      </c>
      <c r="Y20" s="8" t="s">
        <v>78</v>
      </c>
      <c r="Z20" s="27" t="s">
        <v>146</v>
      </c>
      <c r="AA20">
        <f>X33+X37+X38+X40+X41+X42</f>
        <v>0.85447166666666663</v>
      </c>
    </row>
    <row r="21" spans="1:37" hidden="1" x14ac:dyDescent="0.55000000000000004">
      <c r="A21" s="3"/>
      <c r="G21" s="5"/>
      <c r="H21" s="5"/>
      <c r="M21" s="6">
        <v>35</v>
      </c>
      <c r="R21" s="182" t="s">
        <v>83</v>
      </c>
      <c r="S21" s="183"/>
      <c r="T21" s="183"/>
      <c r="U21" s="184"/>
      <c r="W21" s="28" t="s">
        <v>30</v>
      </c>
      <c r="X21" s="8">
        <v>25</v>
      </c>
      <c r="Y21" s="8" t="s">
        <v>84</v>
      </c>
    </row>
    <row r="22" spans="1:37" hidden="1" x14ac:dyDescent="0.55000000000000004">
      <c r="A22" s="3"/>
      <c r="G22" s="5"/>
      <c r="H22" s="5"/>
      <c r="M22" s="6">
        <v>40</v>
      </c>
      <c r="Q22" s="4" t="s">
        <v>86</v>
      </c>
      <c r="R22" s="127" t="s">
        <v>87</v>
      </c>
      <c r="S22" s="128" t="s">
        <v>73</v>
      </c>
      <c r="T22" s="12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28.8" hidden="1" x14ac:dyDescent="0.55000000000000004">
      <c r="A23" s="24"/>
      <c r="B23" s="24"/>
      <c r="C23" s="24"/>
      <c r="G23" s="5"/>
      <c r="H23" s="5"/>
      <c r="M23" s="6">
        <v>45</v>
      </c>
      <c r="Q23" s="4" t="str">
        <f t="shared" ref="Q23:Q47" si="0">R23&amp;S23</f>
        <v>41,1</v>
      </c>
      <c r="R23" s="14">
        <v>4</v>
      </c>
      <c r="S23" s="12" t="s">
        <v>92</v>
      </c>
      <c r="T23" s="130">
        <v>63.8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41">
        <v>58.4</v>
      </c>
      <c r="U24" s="15"/>
      <c r="W24" s="28" t="s">
        <v>94</v>
      </c>
      <c r="X24" s="8">
        <f>U20</f>
        <v>32.299999999999997</v>
      </c>
      <c r="Y24" s="8" t="s">
        <v>95</v>
      </c>
    </row>
    <row r="25" spans="1:37" hidden="1" x14ac:dyDescent="0.55000000000000004">
      <c r="A25" s="23"/>
      <c r="G25" s="5"/>
      <c r="H25" s="5"/>
      <c r="M25" s="6">
        <v>55</v>
      </c>
      <c r="Q25" s="4" t="str">
        <f t="shared" si="0"/>
        <v>41,1,1,1</v>
      </c>
      <c r="R25" s="14">
        <v>4</v>
      </c>
      <c r="S25" s="12" t="s">
        <v>96</v>
      </c>
      <c r="T25" s="130">
        <v>54.2</v>
      </c>
      <c r="U25" s="15"/>
      <c r="W25" s="137" t="s">
        <v>39</v>
      </c>
      <c r="X25" s="138" t="s">
        <v>6</v>
      </c>
      <c r="Y25" s="138" t="s">
        <v>4</v>
      </c>
    </row>
    <row r="26" spans="1:37" hidden="1" x14ac:dyDescent="0.55000000000000004">
      <c r="A26" s="3"/>
      <c r="G26" s="5"/>
      <c r="H26" s="5"/>
      <c r="M26" s="6">
        <v>60</v>
      </c>
      <c r="Q26" s="4" t="str">
        <f t="shared" si="0"/>
        <v>42,1,1,2</v>
      </c>
      <c r="R26" s="14">
        <v>4</v>
      </c>
      <c r="S26" s="12" t="s">
        <v>97</v>
      </c>
      <c r="T26" s="130">
        <v>52.4</v>
      </c>
      <c r="U26" s="15"/>
      <c r="W26" s="28" t="s">
        <v>98</v>
      </c>
      <c r="X26" s="8">
        <f>ROUND((B3/SQRT(2))*X16,2)</f>
        <v>16.8</v>
      </c>
      <c r="Y26" s="8" t="s">
        <v>8</v>
      </c>
    </row>
    <row r="27" spans="1:37" s="1" customFormat="1" ht="28.8" hidden="1" x14ac:dyDescent="0.55000000000000004">
      <c r="A27" s="3"/>
      <c r="B27" s="3"/>
      <c r="C27" s="3"/>
      <c r="D27" s="5"/>
      <c r="E27" s="5"/>
      <c r="F27"/>
      <c r="G27" s="5"/>
      <c r="H27" s="5"/>
      <c r="I27"/>
      <c r="J27"/>
      <c r="K27"/>
      <c r="L27"/>
      <c r="M27" s="6">
        <v>65</v>
      </c>
      <c r="N27"/>
      <c r="O27"/>
      <c r="P27"/>
      <c r="Q27" s="4" t="str">
        <f t="shared" si="0"/>
        <v>81,1</v>
      </c>
      <c r="R27" s="14">
        <v>8</v>
      </c>
      <c r="S27" s="12" t="s">
        <v>92</v>
      </c>
      <c r="T27" s="130">
        <v>52.7</v>
      </c>
      <c r="U27" s="15"/>
      <c r="V27"/>
      <c r="W27" s="28" t="s">
        <v>99</v>
      </c>
      <c r="X27" s="8">
        <f>ROUND(X26/1.41,2)</f>
        <v>11.91</v>
      </c>
      <c r="Y27" s="8" t="s">
        <v>8</v>
      </c>
      <c r="Z27"/>
      <c r="AA27"/>
      <c r="AH27" s="11"/>
      <c r="AI27" s="11"/>
      <c r="AJ27" s="11"/>
      <c r="AK27" s="11"/>
    </row>
    <row r="28" spans="1:37" hidden="1" x14ac:dyDescent="0.55000000000000004">
      <c r="A28" s="1"/>
      <c r="B28" s="1"/>
      <c r="C28" s="1"/>
      <c r="D28" s="6"/>
      <c r="E28" s="6"/>
      <c r="F28" s="1"/>
      <c r="G28" s="5"/>
      <c r="H28" s="5"/>
      <c r="M28" s="6">
        <v>70</v>
      </c>
      <c r="Q28" s="4" t="str">
        <f t="shared" si="0"/>
        <v>82,2</v>
      </c>
      <c r="R28" s="14">
        <v>8</v>
      </c>
      <c r="S28" s="12" t="s">
        <v>93</v>
      </c>
      <c r="T28" s="141">
        <v>46.2</v>
      </c>
      <c r="U28" s="15"/>
      <c r="W28" s="28"/>
      <c r="X28" s="8"/>
      <c r="Y28" s="8"/>
    </row>
    <row r="29" spans="1:37" hidden="1" x14ac:dyDescent="0.55000000000000004">
      <c r="A29" s="3"/>
      <c r="G29" s="5"/>
      <c r="H29" s="5"/>
      <c r="M29" s="6">
        <v>75</v>
      </c>
      <c r="Q29" s="4" t="str">
        <f t="shared" si="0"/>
        <v>81,1,1,1</v>
      </c>
      <c r="R29" s="14">
        <v>8</v>
      </c>
      <c r="S29" s="12" t="s">
        <v>96</v>
      </c>
      <c r="T29" s="130">
        <v>42.5</v>
      </c>
      <c r="U29" s="15"/>
      <c r="W29" s="28" t="s">
        <v>100</v>
      </c>
      <c r="X29" s="8">
        <f>B4*1.414</f>
        <v>2.8279999999999998</v>
      </c>
      <c r="Y29" s="8" t="s">
        <v>12</v>
      </c>
    </row>
    <row r="30" spans="1:37" hidden="1" x14ac:dyDescent="0.55000000000000004">
      <c r="A30" s="3"/>
      <c r="G30" s="5"/>
      <c r="H30" s="5"/>
      <c r="M30" s="6">
        <v>80</v>
      </c>
      <c r="Q30" s="4" t="str">
        <f t="shared" si="0"/>
        <v>82,1,1,2</v>
      </c>
      <c r="R30" s="14">
        <v>8</v>
      </c>
      <c r="S30" s="12" t="s">
        <v>97</v>
      </c>
      <c r="T30" s="130">
        <v>40.6</v>
      </c>
      <c r="U30" s="15"/>
      <c r="W30" s="28" t="s">
        <v>101</v>
      </c>
      <c r="X30" s="8">
        <f>B3/B7</f>
        <v>0.12</v>
      </c>
      <c r="Y30" s="8" t="s">
        <v>21</v>
      </c>
    </row>
    <row r="31" spans="1:37" ht="28.8" hidden="1" x14ac:dyDescent="0.55000000000000004">
      <c r="A31" s="3"/>
      <c r="G31" s="5"/>
      <c r="H31" s="5"/>
      <c r="M31" s="6">
        <v>85</v>
      </c>
      <c r="Q31" s="4" t="str">
        <f t="shared" si="0"/>
        <v>161,1</v>
      </c>
      <c r="R31" s="14">
        <v>16</v>
      </c>
      <c r="S31" s="12" t="s">
        <v>92</v>
      </c>
      <c r="T31" s="130">
        <v>45.9</v>
      </c>
      <c r="U31" s="15"/>
      <c r="W31" s="25" t="s">
        <v>147</v>
      </c>
      <c r="X31" s="3">
        <f>VLOOKUP(B7,K16:L19,2,FALSE)</f>
        <v>0.5</v>
      </c>
      <c r="Y31" s="3" t="s">
        <v>21</v>
      </c>
    </row>
    <row r="32" spans="1:37" hidden="1" x14ac:dyDescent="0.55000000000000004">
      <c r="A32" s="3"/>
      <c r="G32" s="5"/>
      <c r="H32" s="5"/>
      <c r="M32" s="6">
        <v>90</v>
      </c>
      <c r="Q32" s="4" t="str">
        <f t="shared" si="0"/>
        <v>162,2</v>
      </c>
      <c r="R32" s="14">
        <v>16</v>
      </c>
      <c r="S32" s="12" t="s">
        <v>93</v>
      </c>
      <c r="T32" s="141">
        <v>38.1</v>
      </c>
      <c r="U32" s="16"/>
      <c r="W32" s="135" t="s">
        <v>103</v>
      </c>
      <c r="X32" s="136" t="s">
        <v>6</v>
      </c>
      <c r="Y32" s="136" t="s">
        <v>4</v>
      </c>
    </row>
    <row r="33" spans="1:33" s="10" customFormat="1" hidden="1" x14ac:dyDescent="0.55000000000000004">
      <c r="A33" s="3"/>
      <c r="B33" s="3"/>
      <c r="C33" s="3"/>
      <c r="D33" s="5"/>
      <c r="E33" s="5"/>
      <c r="F33"/>
      <c r="G33" s="5"/>
      <c r="H33" s="5"/>
      <c r="I33"/>
      <c r="J33"/>
      <c r="K33"/>
      <c r="L33"/>
      <c r="M33" s="6">
        <v>95</v>
      </c>
      <c r="N33"/>
      <c r="O33"/>
      <c r="P33"/>
      <c r="Q33" s="4" t="str">
        <f t="shared" si="0"/>
        <v>161,1,1,1</v>
      </c>
      <c r="R33" s="14">
        <v>16</v>
      </c>
      <c r="S33" s="12" t="s">
        <v>96</v>
      </c>
      <c r="T33" s="130">
        <v>34.5</v>
      </c>
      <c r="U33" s="15"/>
      <c r="V33"/>
      <c r="W33" s="28" t="s">
        <v>104</v>
      </c>
      <c r="X33" s="140">
        <f>B3*IF(B3&gt;6.01,X18,X17)/1000</f>
        <v>0.37368000000000001</v>
      </c>
      <c r="Y33" s="8" t="s">
        <v>10</v>
      </c>
      <c r="Z33"/>
      <c r="AA33"/>
      <c r="AB33"/>
      <c r="AC33"/>
      <c r="AD33"/>
      <c r="AE33"/>
      <c r="AF33"/>
      <c r="AG33"/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 s="6">
        <v>100</v>
      </c>
      <c r="N34"/>
      <c r="O34"/>
      <c r="P34"/>
      <c r="Q34" s="4" t="str">
        <f t="shared" si="0"/>
        <v>162,1,1,2</v>
      </c>
      <c r="R34" s="14">
        <v>16</v>
      </c>
      <c r="S34" s="12" t="s">
        <v>97</v>
      </c>
      <c r="T34" s="130">
        <v>32.299999999999997</v>
      </c>
      <c r="U34" s="15"/>
      <c r="V34"/>
      <c r="W34" s="28"/>
      <c r="X34" s="8"/>
      <c r="Y34" s="8"/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 s="6">
        <v>105</v>
      </c>
      <c r="N35"/>
      <c r="O35"/>
      <c r="P35"/>
      <c r="Q35" s="4" t="str">
        <f t="shared" si="0"/>
        <v>321,1</v>
      </c>
      <c r="R35" s="14">
        <v>32</v>
      </c>
      <c r="S35" s="12" t="s">
        <v>92</v>
      </c>
      <c r="T35" s="130">
        <v>42.1</v>
      </c>
      <c r="U35" s="15"/>
      <c r="V35"/>
      <c r="W35" s="135" t="s">
        <v>148</v>
      </c>
      <c r="X35" s="136" t="s">
        <v>6</v>
      </c>
      <c r="Y35" s="136" t="s">
        <v>4</v>
      </c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 s="6">
        <v>110</v>
      </c>
      <c r="N36"/>
      <c r="O36"/>
      <c r="P36"/>
      <c r="Q36" s="4" t="str">
        <f t="shared" si="0"/>
        <v>322,2</v>
      </c>
      <c r="R36" s="14">
        <v>32</v>
      </c>
      <c r="S36" s="12" t="s">
        <v>93</v>
      </c>
      <c r="T36" s="141">
        <v>33.200000000000003</v>
      </c>
      <c r="U36" s="15"/>
      <c r="V36"/>
      <c r="W36" s="28" t="s">
        <v>106</v>
      </c>
      <c r="X36" s="8">
        <f>ROUND(3*B4*B4*AH16/(1000),3)</f>
        <v>0.67600000000000005</v>
      </c>
      <c r="Y36" s="8" t="s">
        <v>10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 s="6">
        <v>115</v>
      </c>
      <c r="N37"/>
      <c r="O37"/>
      <c r="P37"/>
      <c r="Q37" s="4" t="str">
        <f t="shared" si="0"/>
        <v>321,1,1,1</v>
      </c>
      <c r="R37" s="14">
        <v>32</v>
      </c>
      <c r="S37" s="12" t="s">
        <v>96</v>
      </c>
      <c r="T37" s="130">
        <v>29.5</v>
      </c>
      <c r="U37" s="15"/>
      <c r="V37"/>
      <c r="W37" s="28" t="s">
        <v>108</v>
      </c>
      <c r="X37" s="140">
        <f>ROUND(3*B3*B4*X30*B6/(1000),3)*IF(B5="Discontinuous",2/3,1)</f>
        <v>0.23066666666666663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 s="6">
        <v>120</v>
      </c>
      <c r="N38"/>
      <c r="O38"/>
      <c r="P38"/>
      <c r="Q38" s="4" t="str">
        <f t="shared" si="0"/>
        <v>322,1,1,2</v>
      </c>
      <c r="R38" s="14">
        <v>32</v>
      </c>
      <c r="S38" s="12" t="s">
        <v>97</v>
      </c>
      <c r="T38" s="130">
        <v>27</v>
      </c>
      <c r="U38" s="15"/>
      <c r="V38"/>
      <c r="W38" s="28" t="s">
        <v>110</v>
      </c>
      <c r="X38" s="140">
        <f>X22*5*B6*0.000000001*1000</f>
        <v>1.2500000000000003E-4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 s="6">
        <v>125</v>
      </c>
      <c r="N39"/>
      <c r="O39"/>
      <c r="P39"/>
      <c r="Q39" s="4" t="str">
        <f t="shared" si="0"/>
        <v>641,1</v>
      </c>
      <c r="R39" s="14">
        <v>64</v>
      </c>
      <c r="S39" s="12" t="s">
        <v>92</v>
      </c>
      <c r="T39" s="130">
        <v>40.200000000000003</v>
      </c>
      <c r="U39" s="15"/>
      <c r="V39"/>
      <c r="W39" s="28" t="s">
        <v>149</v>
      </c>
      <c r="X39" s="8">
        <f>X36+X37+X38</f>
        <v>0.90679166666666677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 s="6">
        <v>130</v>
      </c>
      <c r="N40"/>
      <c r="O40"/>
      <c r="P40"/>
      <c r="Q40" s="4" t="str">
        <f t="shared" si="0"/>
        <v>642,2</v>
      </c>
      <c r="R40" s="14">
        <v>64</v>
      </c>
      <c r="S40" s="12" t="s">
        <v>93</v>
      </c>
      <c r="T40" s="141">
        <v>30.4</v>
      </c>
      <c r="U40" s="15"/>
      <c r="V40"/>
      <c r="W40" s="11" t="s">
        <v>113</v>
      </c>
      <c r="X40" s="139">
        <f>3*2*B4*X31*B6*0.7/1000</f>
        <v>8.4000000000000005E-2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 s="6">
        <v>135</v>
      </c>
      <c r="N41"/>
      <c r="O41"/>
      <c r="P41"/>
      <c r="Q41" s="4" t="str">
        <f t="shared" si="0"/>
        <v>641,1,1,1</v>
      </c>
      <c r="R41" s="14">
        <v>64</v>
      </c>
      <c r="S41" s="12" t="s">
        <v>96</v>
      </c>
      <c r="T41" s="130">
        <v>26.6</v>
      </c>
      <c r="U41" s="15"/>
      <c r="V41"/>
      <c r="W41" s="28" t="s">
        <v>115</v>
      </c>
      <c r="X41" s="139">
        <f>(B3-3.3)*B8*0.001</f>
        <v>0.10350000000000001</v>
      </c>
      <c r="Y41" s="8" t="s">
        <v>10</v>
      </c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 s="6">
        <v>140</v>
      </c>
      <c r="N42"/>
      <c r="O42"/>
      <c r="P42"/>
      <c r="Q42" s="4" t="str">
        <f t="shared" si="0"/>
        <v>642,1,1,2</v>
      </c>
      <c r="R42" s="36">
        <v>64</v>
      </c>
      <c r="S42" s="37" t="s">
        <v>97</v>
      </c>
      <c r="T42" s="131">
        <v>23.9</v>
      </c>
      <c r="U42" s="38"/>
      <c r="V42"/>
      <c r="W42" s="11" t="s">
        <v>117</v>
      </c>
      <c r="X42" s="139">
        <v>6.25E-2</v>
      </c>
      <c r="Y42" s="5" t="s">
        <v>10</v>
      </c>
      <c r="Z42" s="8" t="s">
        <v>118</v>
      </c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 s="6">
        <v>145</v>
      </c>
      <c r="N43"/>
      <c r="O43"/>
      <c r="P43"/>
      <c r="Q43" s="40" t="str">
        <f t="shared" si="0"/>
        <v>43,1,1,3</v>
      </c>
      <c r="R43" s="39">
        <v>4</v>
      </c>
      <c r="S43" s="12" t="s">
        <v>119</v>
      </c>
      <c r="T43" s="130">
        <v>51.1</v>
      </c>
      <c r="U43" s="41"/>
      <c r="V43"/>
      <c r="W43" s="28" t="s">
        <v>150</v>
      </c>
      <c r="X43" s="8">
        <f>ROUND((3*X27*B4)-E3,2)</f>
        <v>69.930000000000007</v>
      </c>
      <c r="Y43" s="8" t="s">
        <v>10</v>
      </c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24"/>
      <c r="B44" s="24"/>
      <c r="C44" s="24"/>
      <c r="D44" s="5"/>
      <c r="E44" s="5"/>
      <c r="F44" s="5"/>
      <c r="G44"/>
      <c r="H44"/>
      <c r="I44"/>
      <c r="J44"/>
      <c r="K44"/>
      <c r="L44"/>
      <c r="M44" s="6">
        <v>150</v>
      </c>
      <c r="N44"/>
      <c r="O44"/>
      <c r="P44"/>
      <c r="Q44" s="40" t="str">
        <f t="shared" si="0"/>
        <v>83,1,1,3</v>
      </c>
      <c r="R44" s="39">
        <v>8</v>
      </c>
      <c r="S44" s="12" t="s">
        <v>119</v>
      </c>
      <c r="T44" s="130">
        <v>39</v>
      </c>
      <c r="U44" s="41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5"/>
      <c r="B45" s="3"/>
      <c r="C45" s="3"/>
      <c r="D45" s="5"/>
      <c r="E45" s="3"/>
      <c r="F45" s="3"/>
      <c r="G45" s="5"/>
      <c r="H45"/>
      <c r="I45"/>
      <c r="J45"/>
      <c r="K45"/>
      <c r="L45"/>
      <c r="M45" s="6">
        <v>155</v>
      </c>
      <c r="N45"/>
      <c r="O45"/>
      <c r="P45"/>
      <c r="Q45" s="40" t="str">
        <f t="shared" si="0"/>
        <v>163,1,1,3</v>
      </c>
      <c r="R45" s="39">
        <v>16</v>
      </c>
      <c r="S45" s="12" t="s">
        <v>119</v>
      </c>
      <c r="T45" s="130">
        <v>30.6</v>
      </c>
      <c r="U45" s="41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 s="5"/>
      <c r="G46"/>
      <c r="H46"/>
      <c r="I46"/>
      <c r="J46"/>
      <c r="K46"/>
      <c r="L46"/>
      <c r="M46" s="6">
        <v>160</v>
      </c>
      <c r="N46"/>
      <c r="O46"/>
      <c r="P46"/>
      <c r="Q46" s="40" t="str">
        <f t="shared" si="0"/>
        <v>323,1,1,3</v>
      </c>
      <c r="R46" s="39">
        <v>32</v>
      </c>
      <c r="S46" s="12" t="s">
        <v>119</v>
      </c>
      <c r="T46" s="130">
        <v>25.1</v>
      </c>
      <c r="U46" s="41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t="14.7" hidden="1" thickBot="1" x14ac:dyDescent="0.6">
      <c r="A47" s="23"/>
      <c r="B47" s="3"/>
      <c r="C47" s="3"/>
      <c r="D47" s="5"/>
      <c r="E47" s="5"/>
      <c r="F47"/>
      <c r="G47"/>
      <c r="H47"/>
      <c r="I47"/>
      <c r="J47"/>
      <c r="K47"/>
      <c r="L47"/>
      <c r="M47" s="6">
        <v>165</v>
      </c>
      <c r="N47"/>
      <c r="O47"/>
      <c r="P47"/>
      <c r="Q47" s="40" t="str">
        <f t="shared" si="0"/>
        <v>643,1,1,3</v>
      </c>
      <c r="R47" s="132">
        <v>64</v>
      </c>
      <c r="S47" s="133" t="s">
        <v>119</v>
      </c>
      <c r="T47" s="134">
        <v>21.7</v>
      </c>
      <c r="U47" s="42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" customFormat="1" hidden="1" x14ac:dyDescent="0.55000000000000004">
      <c r="A48" s="24"/>
      <c r="B48" s="24"/>
      <c r="C48" s="24"/>
      <c r="D48" s="5"/>
      <c r="E48" s="5"/>
      <c r="F48"/>
      <c r="M48" s="6">
        <v>170</v>
      </c>
    </row>
    <row r="49" spans="1:33" s="4" customFormat="1" hidden="1" x14ac:dyDescent="0.55000000000000004">
      <c r="A49" s="25"/>
      <c r="D49" s="7"/>
      <c r="E49" s="7"/>
      <c r="M49" s="6">
        <v>175</v>
      </c>
    </row>
    <row r="50" spans="1:33" s="10" customFormat="1" hidden="1" x14ac:dyDescent="0.55000000000000004">
      <c r="A50" s="24"/>
      <c r="B50" s="24"/>
      <c r="C50" s="24"/>
      <c r="D50" s="7"/>
      <c r="E50" s="7"/>
      <c r="F50" s="4"/>
      <c r="G50"/>
      <c r="H50"/>
      <c r="I50"/>
      <c r="J50"/>
      <c r="K50"/>
      <c r="L50"/>
      <c r="M50" s="6">
        <v>180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24"/>
      <c r="B51" s="3"/>
      <c r="C51" s="3"/>
      <c r="D51" s="5"/>
      <c r="E51" s="5"/>
      <c r="F51"/>
      <c r="G51"/>
      <c r="H51"/>
      <c r="I51"/>
      <c r="J51"/>
      <c r="K51"/>
      <c r="L51"/>
      <c r="M51" s="6">
        <v>185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/>
      <c r="H52"/>
      <c r="I52"/>
      <c r="J52"/>
      <c r="K52"/>
      <c r="L52"/>
      <c r="M52" s="6">
        <v>190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 s="6">
        <v>195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 s="6">
        <v>200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t="43.5" hidden="1" customHeight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4:37" s="3" customFormat="1" hidden="1" x14ac:dyDescent="0.55000000000000004">
      <c r="D65" s="5"/>
      <c r="E65" s="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 s="10"/>
      <c r="AI65" s="10"/>
      <c r="AJ65" s="10"/>
      <c r="AK65" s="10"/>
    </row>
    <row r="66" spans="4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4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4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4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4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4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4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4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4:37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4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4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4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4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4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4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3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5"/>
    </row>
    <row r="86" spans="1:33" s="10" customFormat="1" hidden="1" x14ac:dyDescent="0.55000000000000004">
      <c r="A86" s="2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3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</sheetData>
  <sheetProtection algorithmName="SHA-512" hashValue="oJ5NHWmEmGg0cY8TFq+9OKFcJtc66nLJlkX5A+D+l7dZwzRYvClfmPnv2OKT3s37oLZSBRhu14DGh06on4iIPQ==" saltValue="SMIN3jWIeaU9DbUc4Zv0SQ==" spinCount="100000" sheet="1" objects="1" scenarios="1"/>
  <mergeCells count="8">
    <mergeCell ref="AG15:AH15"/>
    <mergeCell ref="R18:T18"/>
    <mergeCell ref="R21:U21"/>
    <mergeCell ref="A14:C14"/>
    <mergeCell ref="B1:F1"/>
    <mergeCell ref="R15:U15"/>
    <mergeCell ref="AC15:AD15"/>
    <mergeCell ref="AE15:AF15"/>
  </mergeCells>
  <conditionalFormatting sqref="E4">
    <cfRule type="cellIs" dxfId="31" priority="1" operator="lessThan">
      <formula>125</formula>
    </cfRule>
    <cfRule type="cellIs" dxfId="30" priority="2" operator="greaterThan">
      <formula>125</formula>
    </cfRule>
  </conditionalFormatting>
  <dataValidations count="14">
    <dataValidation allowBlank="1" showInputMessage="1" showErrorMessage="1" prompt="Enter the operating ambient temperature" sqref="X21" xr:uid="{7986CA3F-62FD-4385-AA14-3AC8D4EB5FC5}"/>
    <dataValidation type="decimal" allowBlank="1" showInputMessage="1" showErrorMessage="1" error="This voltage is outside the operating range of the DRV8316" prompt="Enter a motor supply voltage between 4.5 to 35 volts" sqref="B3" xr:uid="{C02EB111-6C73-4A98-9A90-877F41E32AD4}">
      <formula1>4.5</formula1>
      <formula2>35</formula2>
    </dataValidation>
    <dataValidation type="list" allowBlank="1" showInputMessage="1" showErrorMessage="1" prompt="Select copper thickness of internal layers if more than 2 layer PCB (oz)" sqref="X23" xr:uid="{5362E5B8-0311-4F98-8C08-72D427FDAB47}">
      <formula1>$I$16:$I$17</formula1>
    </dataValidation>
    <dataValidation type="list" allowBlank="1" showInputMessage="1" showErrorMessage="1" prompt="Select copper thickness of top/bottom layers (oz)" sqref="X23 AF15 AB9" xr:uid="{AF6F4F2B-476A-4AA6-AD3D-DE5BA251951C}">
      <formula1>$H$16:$H$17</formula1>
    </dataValidation>
    <dataValidation type="decimal" allowBlank="1" showInputMessage="1" showErrorMessage="1" error="This current is outside the operating range of the DRV8316" prompt="Enter an RMS current between 0 and 5.657 amps" sqref="B4" xr:uid="{1779119E-D69F-4983-BFBC-52E7BA542B1E}">
      <formula1>0</formula1>
      <formula2>5.657</formula2>
    </dataValidation>
    <dataValidation type="list" allowBlank="1" showInputMessage="1" showErrorMessage="1" prompt="Select an output slew rate setting (V/us)" sqref="B7" xr:uid="{6DF34986-0F9C-4BFF-A4B2-A3DC34A62F0C}">
      <formula1>$K$16:$K$19</formula1>
    </dataValidation>
    <dataValidation type="list" allowBlank="1" showInputMessage="1" showErrorMessage="1" prompt="Select PCB area (cm2)" sqref="B13" xr:uid="{1AB01E78-A536-4092-B2B0-959D2A00CFEF}">
      <formula1>$J$16:$J$20</formula1>
    </dataValidation>
    <dataValidation type="list" allowBlank="1" showInputMessage="1" showErrorMessage="1" prompt="Select # of PCB Layers" sqref="B11" xr:uid="{F4F476E4-7525-460F-BA7C-0B48C5ADD3D0}">
      <formula1>$G$16:$G$17</formula1>
    </dataValidation>
    <dataValidation type="list" allowBlank="1" showInputMessage="1" showErrorMessage="1" error="This PWM frequency is outside of the operating range of the DRV8316" prompt="Select a PWM frequency between 10kHz and 200kHz" sqref="B6" xr:uid="{1FA9045C-BD44-47EA-8183-0CF6AEF6FE6E}">
      <formula1>$M$16:$M$54</formula1>
    </dataValidation>
    <dataValidation type="list" allowBlank="1" showInputMessage="1" showErrorMessage="1" prompt="Select PWM modulation type" sqref="B5" xr:uid="{92094770-BFFE-4B65-8D82-A7554FFF3AAD}">
      <formula1>$N$16:$N$17</formula1>
    </dataValidation>
    <dataValidation type="list" allowBlank="1" showInputMessage="1" showErrorMessage="1" prompt="Select copper thickness of top/bottom layers (oz)" sqref="B12" xr:uid="{71EB16F6-016E-4CAC-8BD6-14D30B374B6D}">
      <formula1>$H$16:$H$18</formula1>
    </dataValidation>
    <dataValidation type="list" allowBlank="1" showInputMessage="1" showErrorMessage="1" prompt="Select copper thickness of top/bottom layers (oz)" sqref="B13" xr:uid="{D1208F2F-CF70-4819-9506-ED99A60A61B0}">
      <formula1>$J$16:$J$20</formula1>
    </dataValidation>
    <dataValidation type="decimal" allowBlank="1" showInputMessage="1" showErrorMessage="1" error="AVDD output current out of range" prompt="Enter the AVDD output load current between 0 to 30mA" sqref="B8" xr:uid="{9897A4EF-C1AF-4065-B233-3A13408E37C1}">
      <formula1>0</formula1>
      <formula2>30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9" xr:uid="{F00EF716-4174-400D-9184-10E70FF45B6F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FC54D-D82B-4EB3-9764-65C15502C000}">
  <dimension ref="A1:EU94"/>
  <sheetViews>
    <sheetView tabSelected="1" zoomScale="85" zoomScaleNormal="85" workbookViewId="0">
      <selection activeCell="A13" sqref="A13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/>
    <col min="8" max="8" width="28.5234375" hidden="1"/>
    <col min="9" max="9" width="12.5234375" hidden="1"/>
    <col min="10" max="10" width="31" hidden="1"/>
    <col min="11" max="11" width="25.5234375" hidden="1"/>
    <col min="12" max="12" width="11.47265625" hidden="1"/>
    <col min="13" max="13" width="12.5234375" hidden="1"/>
    <col min="14" max="14" width="30.47265625" hidden="1"/>
    <col min="15" max="15" width="26.47265625" hidden="1"/>
    <col min="16" max="16" width="11" hidden="1"/>
    <col min="17" max="18" width="10.5234375" hidden="1"/>
    <col min="19" max="19" width="11.47265625" hidden="1"/>
    <col min="20" max="20" width="13.47265625" hidden="1"/>
    <col min="21" max="21" width="13.5234375" hidden="1"/>
    <col min="22" max="22" width="21.47265625" hidden="1"/>
    <col min="23" max="23" width="14.47265625" hidden="1"/>
    <col min="24" max="24" width="30.47265625" hidden="1"/>
    <col min="25" max="25" width="14.47265625" hidden="1"/>
    <col min="26" max="26" width="24.5234375" hidden="1"/>
    <col min="27" max="27" width="23.47265625" hidden="1"/>
    <col min="28" max="28" width="44.7890625" hidden="1"/>
    <col min="29" max="29" width="30.47265625" hidden="1"/>
    <col min="30" max="30" width="13.5234375" hidden="1"/>
    <col min="31" max="31" width="7.5234375" hidden="1"/>
    <col min="32" max="32" width="45.7890625" hidden="1"/>
    <col min="33" max="33" width="34.5234375" hidden="1"/>
    <col min="34" max="34" width="14" style="10" hidden="1"/>
    <col min="35" max="35" width="16.47265625" style="10" hidden="1"/>
    <col min="36" max="36" width="13.5234375" style="10" hidden="1"/>
    <col min="37" max="37" width="16.47265625" style="10" hidden="1"/>
    <col min="38" max="38" width="13.5234375" hidden="1"/>
    <col min="39" max="39" width="16.47265625" hidden="1"/>
    <col min="40" max="40" width="13.5234375" hidden="1"/>
    <col min="41" max="121" width="8.83984375" hidden="1"/>
    <col min="122" max="149" width="8.5234375" hidden="1"/>
    <col min="152" max="16384" width="8.83984375" hidden="1"/>
  </cols>
  <sheetData>
    <row r="1" spans="1:37" ht="15" customHeight="1" thickBot="1" x14ac:dyDescent="0.6">
      <c r="A1" s="142" t="s">
        <v>151</v>
      </c>
      <c r="B1" s="185" t="s">
        <v>152</v>
      </c>
      <c r="C1" s="185"/>
      <c r="D1" s="185"/>
      <c r="E1" s="185"/>
      <c r="F1" s="185"/>
    </row>
    <row r="2" spans="1:37" ht="15" customHeight="1" thickBot="1" x14ac:dyDescent="0.6">
      <c r="A2" s="83" t="s">
        <v>2</v>
      </c>
      <c r="B2" s="74" t="s">
        <v>153</v>
      </c>
      <c r="C2" s="80" t="s">
        <v>4</v>
      </c>
      <c r="D2" s="84" t="s">
        <v>5</v>
      </c>
      <c r="E2" s="85" t="s">
        <v>6</v>
      </c>
      <c r="F2" s="85" t="s">
        <v>4</v>
      </c>
    </row>
    <row r="3" spans="1:37" ht="15" customHeight="1" thickBot="1" x14ac:dyDescent="0.6">
      <c r="A3" s="86" t="s">
        <v>7</v>
      </c>
      <c r="B3" s="70">
        <v>24</v>
      </c>
      <c r="C3" s="77" t="s">
        <v>8</v>
      </c>
      <c r="D3" s="87" t="s">
        <v>9</v>
      </c>
      <c r="E3" s="97">
        <f>ROUND(IF(Y28=-1,"n/a",$AL$26),2)</f>
        <v>2.58</v>
      </c>
      <c r="F3" s="77" t="s">
        <v>10</v>
      </c>
    </row>
    <row r="4" spans="1:37" ht="15" customHeight="1" thickBot="1" x14ac:dyDescent="0.6">
      <c r="A4" s="88" t="s">
        <v>11</v>
      </c>
      <c r="B4" s="71">
        <v>2.5</v>
      </c>
      <c r="C4" s="78" t="s">
        <v>12</v>
      </c>
      <c r="D4" s="87" t="s">
        <v>13</v>
      </c>
      <c r="E4" s="98">
        <f>ROUND(IF(Y28=-1,"n/a",$AL$27),2)</f>
        <v>108.08</v>
      </c>
      <c r="F4" s="79" t="s">
        <v>14</v>
      </c>
    </row>
    <row r="5" spans="1:37" ht="15" customHeight="1" x14ac:dyDescent="0.55000000000000004">
      <c r="A5" s="89" t="s">
        <v>15</v>
      </c>
      <c r="B5" s="71" t="s">
        <v>16</v>
      </c>
      <c r="C5" s="78" t="s">
        <v>17</v>
      </c>
      <c r="D5" s="90"/>
      <c r="E5" s="90"/>
      <c r="F5" s="90"/>
    </row>
    <row r="6" spans="1:37" ht="15" customHeight="1" x14ac:dyDescent="0.55000000000000004">
      <c r="A6" s="91" t="s">
        <v>18</v>
      </c>
      <c r="B6" s="70" t="s">
        <v>19</v>
      </c>
      <c r="C6" s="78" t="s">
        <v>17</v>
      </c>
      <c r="D6" s="1"/>
      <c r="E6" s="1"/>
      <c r="F6" s="1"/>
    </row>
    <row r="7" spans="1:37" ht="15" customHeight="1" x14ac:dyDescent="0.55000000000000004">
      <c r="A7" s="91" t="s">
        <v>20</v>
      </c>
      <c r="B7" s="70">
        <v>100</v>
      </c>
      <c r="C7" s="78" t="s">
        <v>21</v>
      </c>
      <c r="D7" s="1"/>
      <c r="E7" s="1"/>
      <c r="F7" s="1"/>
    </row>
    <row r="8" spans="1:37" ht="15" customHeight="1" x14ac:dyDescent="0.55000000000000004">
      <c r="A8" s="88" t="str">
        <f>IF(B7=0,"Motor Phase Inductance [Ls]","-")</f>
        <v>-</v>
      </c>
      <c r="B8" s="70"/>
      <c r="C8" s="78" t="str">
        <f>IF(B7=0,"mH","-")</f>
        <v>-</v>
      </c>
      <c r="D8" s="1"/>
      <c r="E8" s="1"/>
      <c r="F8" s="1"/>
    </row>
    <row r="9" spans="1:37" ht="15" customHeight="1" x14ac:dyDescent="0.55000000000000004">
      <c r="A9" s="88" t="str">
        <f>IF(B7=0,"Motor Phase BEMF constant [Ke_ph(pk)]","-")</f>
        <v>-</v>
      </c>
      <c r="B9" s="70"/>
      <c r="C9" s="78" t="str">
        <f>IF(B7=0,"V/Hz","-")</f>
        <v>-</v>
      </c>
      <c r="D9" s="1"/>
      <c r="E9" s="1"/>
      <c r="F9" s="1"/>
    </row>
    <row r="10" spans="1:37" ht="15" customHeight="1" x14ac:dyDescent="0.55000000000000004">
      <c r="A10" s="88" t="s">
        <v>22</v>
      </c>
      <c r="B10" s="70">
        <v>133</v>
      </c>
      <c r="C10" s="77" t="s">
        <v>23</v>
      </c>
      <c r="D10" s="1"/>
      <c r="E10" s="1"/>
      <c r="F10" s="1"/>
    </row>
    <row r="11" spans="1:37" ht="15" customHeight="1" x14ac:dyDescent="0.55000000000000004">
      <c r="A11" s="86" t="s">
        <v>24</v>
      </c>
      <c r="B11" s="70">
        <v>20</v>
      </c>
      <c r="C11" s="78" t="s">
        <v>25</v>
      </c>
      <c r="D11" s="6"/>
      <c r="E11" s="6"/>
      <c r="F11" s="1"/>
    </row>
    <row r="12" spans="1:37" ht="15" customHeight="1" x14ac:dyDescent="0.55000000000000004">
      <c r="A12" s="92" t="s">
        <v>26</v>
      </c>
      <c r="B12" s="71">
        <v>50</v>
      </c>
      <c r="C12" s="78" t="s">
        <v>27</v>
      </c>
      <c r="D12" s="6"/>
      <c r="E12" s="6"/>
      <c r="F12" s="1"/>
    </row>
    <row r="13" spans="1:37" ht="15" customHeight="1" x14ac:dyDescent="0.55000000000000004">
      <c r="A13" s="93" t="s">
        <v>28</v>
      </c>
      <c r="B13" s="72">
        <v>5</v>
      </c>
      <c r="C13" s="78" t="s">
        <v>29</v>
      </c>
      <c r="D13" s="6"/>
      <c r="E13" s="6"/>
      <c r="F13" s="1"/>
      <c r="AH13"/>
      <c r="AI13"/>
      <c r="AJ13"/>
      <c r="AK13"/>
    </row>
    <row r="14" spans="1:37" ht="15" customHeight="1" thickBot="1" x14ac:dyDescent="0.6">
      <c r="A14" s="94" t="s">
        <v>30</v>
      </c>
      <c r="B14" s="73">
        <v>25</v>
      </c>
      <c r="C14" s="79" t="s">
        <v>14</v>
      </c>
      <c r="D14" s="6"/>
      <c r="E14" s="6"/>
      <c r="F14" s="1"/>
      <c r="AH14"/>
      <c r="AI14"/>
      <c r="AJ14"/>
      <c r="AK14"/>
    </row>
    <row r="15" spans="1:37" ht="15" customHeight="1" thickBot="1" x14ac:dyDescent="0.6">
      <c r="A15" s="95" t="s">
        <v>31</v>
      </c>
      <c r="B15" s="74"/>
      <c r="C15" s="80"/>
      <c r="D15" s="6"/>
      <c r="E15" s="6"/>
      <c r="F15" s="1"/>
      <c r="AH15"/>
      <c r="AI15"/>
      <c r="AJ15"/>
      <c r="AK15"/>
    </row>
    <row r="16" spans="1:37" ht="15" customHeight="1" x14ac:dyDescent="0.55000000000000004">
      <c r="A16" s="96" t="s">
        <v>32</v>
      </c>
      <c r="B16" s="75">
        <v>4</v>
      </c>
      <c r="C16" s="77" t="s">
        <v>33</v>
      </c>
      <c r="D16" s="6"/>
      <c r="E16" s="6"/>
      <c r="F16" s="1"/>
      <c r="AH16"/>
      <c r="AI16"/>
      <c r="AJ16"/>
      <c r="AK16"/>
    </row>
    <row r="17" spans="1:151" ht="15" customHeight="1" x14ac:dyDescent="0.55000000000000004">
      <c r="A17" s="92" t="s">
        <v>34</v>
      </c>
      <c r="B17" s="71">
        <v>2</v>
      </c>
      <c r="C17" s="81" t="s">
        <v>35</v>
      </c>
      <c r="D17" s="6"/>
      <c r="E17" s="6"/>
      <c r="F17" s="1"/>
      <c r="AH17"/>
      <c r="AI17"/>
      <c r="AJ17"/>
      <c r="AK17"/>
    </row>
    <row r="18" spans="1:151" ht="28.45" customHeight="1" thickBot="1" x14ac:dyDescent="0.6">
      <c r="A18" s="94" t="s">
        <v>36</v>
      </c>
      <c r="B18" s="76">
        <v>16</v>
      </c>
      <c r="C18" s="82" t="s">
        <v>37</v>
      </c>
      <c r="D18" s="6"/>
      <c r="E18" s="6"/>
      <c r="F18" s="1"/>
      <c r="AH18"/>
      <c r="AI18"/>
      <c r="AJ18"/>
      <c r="AK18"/>
    </row>
    <row r="19" spans="1:151" ht="28.45" customHeight="1" thickBot="1" x14ac:dyDescent="0.6">
      <c r="A19" s="194" t="s">
        <v>154</v>
      </c>
      <c r="B19" s="195"/>
      <c r="C19" s="196"/>
      <c r="D19" s="6"/>
      <c r="E19" s="6"/>
      <c r="F19" s="1"/>
      <c r="G19" s="1"/>
      <c r="AH19"/>
      <c r="AI19"/>
      <c r="AJ19"/>
      <c r="AK19"/>
      <c r="AO19" s="10"/>
    </row>
    <row r="20" spans="1:151" s="1" customFormat="1" ht="32.200000000000003" customHeight="1" x14ac:dyDescent="0.5500000000000000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 s="11"/>
      <c r="EU20"/>
    </row>
    <row r="21" spans="1:151" ht="22.5" customHeight="1" x14ac:dyDescent="0.55000000000000004">
      <c r="AH21"/>
      <c r="AI21"/>
      <c r="AJ21"/>
      <c r="AK21"/>
    </row>
    <row r="22" spans="1:151" ht="14.7" thickBot="1" x14ac:dyDescent="0.6">
      <c r="AA22" s="51" t="s">
        <v>39</v>
      </c>
      <c r="AB22" s="51" t="s">
        <v>6</v>
      </c>
      <c r="AC22" s="51" t="s">
        <v>4</v>
      </c>
      <c r="AH22"/>
      <c r="AI22"/>
      <c r="AJ22"/>
      <c r="AK22"/>
      <c r="AL22" s="10"/>
      <c r="AM22" s="10"/>
    </row>
    <row r="23" spans="1:151" ht="14.7" thickBot="1" x14ac:dyDescent="0.6">
      <c r="K23" s="6" t="s">
        <v>32</v>
      </c>
      <c r="L23" s="6" t="s">
        <v>40</v>
      </c>
      <c r="M23" s="6" t="s">
        <v>41</v>
      </c>
      <c r="N23" s="6" t="s">
        <v>36</v>
      </c>
      <c r="O23" s="6" t="s">
        <v>42</v>
      </c>
      <c r="P23" s="6" t="s">
        <v>43</v>
      </c>
      <c r="Q23" s="6" t="s">
        <v>44</v>
      </c>
      <c r="R23" s="6" t="s">
        <v>45</v>
      </c>
      <c r="S23" s="8" t="s">
        <v>46</v>
      </c>
      <c r="T23" s="8"/>
      <c r="V23" s="62" t="s">
        <v>47</v>
      </c>
      <c r="W23" s="63"/>
      <c r="X23" s="63"/>
      <c r="Y23" s="64"/>
      <c r="AA23" s="25" t="s">
        <v>48</v>
      </c>
      <c r="AB23" s="3">
        <v>1.4829000000000001</v>
      </c>
      <c r="AC23" s="3" t="s">
        <v>12</v>
      </c>
      <c r="AG23" s="65" t="s">
        <v>49</v>
      </c>
      <c r="AH23" s="66"/>
      <c r="AI23" s="65" t="s">
        <v>50</v>
      </c>
      <c r="AJ23" s="66"/>
      <c r="AK23" s="65" t="s">
        <v>51</v>
      </c>
      <c r="AL23" s="66"/>
      <c r="AM23" s="10"/>
    </row>
    <row r="24" spans="1:151" ht="14.7" thickBot="1" x14ac:dyDescent="0.6">
      <c r="K24" s="6">
        <v>2</v>
      </c>
      <c r="L24" s="6">
        <v>1</v>
      </c>
      <c r="M24" s="6">
        <v>1</v>
      </c>
      <c r="N24" s="26">
        <v>4</v>
      </c>
      <c r="O24" s="6">
        <v>25</v>
      </c>
      <c r="P24" s="6">
        <v>1.8</v>
      </c>
      <c r="Q24" s="6">
        <v>10</v>
      </c>
      <c r="R24" s="6" t="s">
        <v>52</v>
      </c>
      <c r="S24" s="8" t="s">
        <v>19</v>
      </c>
      <c r="T24" s="8"/>
      <c r="V24" s="17" t="s">
        <v>53</v>
      </c>
      <c r="W24" s="18" t="s">
        <v>54</v>
      </c>
      <c r="X24" s="18" t="s">
        <v>55</v>
      </c>
      <c r="Y24" s="19" t="s">
        <v>56</v>
      </c>
      <c r="AA24" s="25" t="s">
        <v>57</v>
      </c>
      <c r="AB24" s="3">
        <v>0.99</v>
      </c>
      <c r="AC24" s="3"/>
      <c r="AG24" s="29" t="s">
        <v>58</v>
      </c>
      <c r="AH24">
        <f>$AB$27+($AE$29*(B14-25))</f>
        <v>47.5</v>
      </c>
      <c r="AI24" s="29" t="s">
        <v>59</v>
      </c>
      <c r="AJ24">
        <f>$AB$27+($AE$29*(AH27-25))</f>
        <v>60.848521838235293</v>
      </c>
      <c r="AK24" s="29" t="s">
        <v>60</v>
      </c>
      <c r="AL24" s="57">
        <f>$AB$27+($AE$29*(AJ27-25))</f>
        <v>62.297521838235291</v>
      </c>
      <c r="AM24" s="58"/>
    </row>
    <row r="25" spans="1:151" ht="14.7" thickBot="1" x14ac:dyDescent="0.6">
      <c r="K25" s="6">
        <v>4</v>
      </c>
      <c r="L25" s="6">
        <v>2</v>
      </c>
      <c r="M25" s="6">
        <v>2</v>
      </c>
      <c r="N25" s="26">
        <v>8</v>
      </c>
      <c r="O25" s="6">
        <v>50</v>
      </c>
      <c r="P25" s="6">
        <v>1.1000000000000001</v>
      </c>
      <c r="Q25" s="6">
        <v>15</v>
      </c>
      <c r="R25" s="6" t="s">
        <v>16</v>
      </c>
      <c r="S25" s="8" t="s">
        <v>61</v>
      </c>
      <c r="T25" s="8"/>
      <c r="V25" s="14">
        <f>B17</f>
        <v>2</v>
      </c>
      <c r="W25" s="12">
        <f>IF(B16&gt;2,AB31,"")</f>
        <v>1</v>
      </c>
      <c r="X25" s="12">
        <f>IF(B16&gt;2,AB31,"")</f>
        <v>1</v>
      </c>
      <c r="Y25" s="15">
        <f>B17</f>
        <v>2</v>
      </c>
      <c r="AA25" s="25"/>
      <c r="AB25" s="3"/>
      <c r="AC25" s="3"/>
      <c r="AG25" s="30" t="s">
        <v>63</v>
      </c>
      <c r="AH25" s="9">
        <f>ROUND(3*$B$4*$B$4*AH24/(1000),3)</f>
        <v>0.89100000000000001</v>
      </c>
      <c r="AI25" s="30" t="s">
        <v>64</v>
      </c>
      <c r="AJ25" s="9">
        <f>ROUND(3*$B$4*$B$4*AJ24/(1000),3)</f>
        <v>1.141</v>
      </c>
      <c r="AK25" s="30" t="s">
        <v>65</v>
      </c>
      <c r="AL25" s="9">
        <f>ROUND(3*$B$4*$B$4*AL24/(1000),3)</f>
        <v>1.1679999999999999</v>
      </c>
      <c r="AM25" s="10"/>
    </row>
    <row r="26" spans="1:151" ht="29.1" thickBot="1" x14ac:dyDescent="0.6">
      <c r="A26" s="3"/>
      <c r="K26" s="6"/>
      <c r="L26" s="6">
        <v>3</v>
      </c>
      <c r="M26" s="6"/>
      <c r="N26" s="26">
        <v>16</v>
      </c>
      <c r="O26" s="6">
        <v>125</v>
      </c>
      <c r="P26" s="6">
        <v>0.65</v>
      </c>
      <c r="Q26" s="6">
        <v>20</v>
      </c>
      <c r="R26" s="6"/>
      <c r="S26" s="8"/>
      <c r="T26" s="8"/>
      <c r="U26" s="8"/>
      <c r="V26" s="67" t="s">
        <v>66</v>
      </c>
      <c r="W26" s="68"/>
      <c r="X26" s="69"/>
      <c r="Y26" s="33" t="s">
        <v>67</v>
      </c>
      <c r="AA26" s="28" t="s">
        <v>155</v>
      </c>
      <c r="AB26" s="8">
        <v>15</v>
      </c>
      <c r="AC26" s="8" t="s">
        <v>29</v>
      </c>
      <c r="AD26" t="s">
        <v>156</v>
      </c>
      <c r="AG26" s="30" t="s">
        <v>70</v>
      </c>
      <c r="AH26" s="9">
        <f>AH25+$AE$30</f>
        <v>2.3030575980392154</v>
      </c>
      <c r="AI26" s="30" t="s">
        <v>71</v>
      </c>
      <c r="AJ26" s="9">
        <f>AJ25+$AE$30</f>
        <v>2.5530575980392154</v>
      </c>
      <c r="AK26" s="31" t="s">
        <v>72</v>
      </c>
      <c r="AL26" s="32">
        <f>AL25+$AE$30</f>
        <v>2.5800575980392155</v>
      </c>
      <c r="AM26" s="10"/>
    </row>
    <row r="27" spans="1:151" ht="14.7" hidden="1" thickBot="1" x14ac:dyDescent="0.6">
      <c r="A27" s="3"/>
      <c r="K27" s="6"/>
      <c r="L27" s="6"/>
      <c r="M27" s="6"/>
      <c r="N27" s="26">
        <v>32</v>
      </c>
      <c r="O27" s="6">
        <v>200</v>
      </c>
      <c r="P27" s="6">
        <v>0.5</v>
      </c>
      <c r="Q27" s="6">
        <v>25</v>
      </c>
      <c r="R27" s="6"/>
      <c r="S27" s="8"/>
      <c r="T27" s="8"/>
      <c r="U27" s="8"/>
      <c r="V27" s="20" t="s">
        <v>73</v>
      </c>
      <c r="W27" s="21" t="s">
        <v>74</v>
      </c>
      <c r="X27" s="21" t="s">
        <v>75</v>
      </c>
      <c r="Y27" s="34" t="s">
        <v>76</v>
      </c>
      <c r="AA27" s="25" t="s">
        <v>77</v>
      </c>
      <c r="AB27" s="3">
        <v>47.5</v>
      </c>
      <c r="AC27" s="3" t="s">
        <v>78</v>
      </c>
      <c r="AG27" s="30" t="s">
        <v>79</v>
      </c>
      <c r="AH27" s="9">
        <f>$B$14+(AH26*$AB$32)</f>
        <v>99.158454656862745</v>
      </c>
      <c r="AI27" s="30" t="s">
        <v>80</v>
      </c>
      <c r="AJ27" s="9">
        <f>$B$14+(AJ26*$AB$32)</f>
        <v>107.20845465686274</v>
      </c>
      <c r="AK27" s="31" t="s">
        <v>81</v>
      </c>
      <c r="AL27" s="32">
        <f>$B$14+(AL26*$AB$32)</f>
        <v>108.07785465686274</v>
      </c>
      <c r="AM27" s="10"/>
    </row>
    <row r="28" spans="1:151" hidden="1" x14ac:dyDescent="0.55000000000000004">
      <c r="A28" s="3"/>
      <c r="K28" s="6"/>
      <c r="L28" s="6"/>
      <c r="M28" s="6"/>
      <c r="N28" s="26">
        <v>64</v>
      </c>
      <c r="O28" s="6"/>
      <c r="P28" s="6"/>
      <c r="Q28" s="6">
        <v>30</v>
      </c>
      <c r="R28" s="6"/>
      <c r="S28" s="8"/>
      <c r="T28" s="8"/>
      <c r="U28" s="8"/>
      <c r="V28" s="14" t="str">
        <f>_xlfn.TEXTJOIN(",",TRUE,V25:Y25)</f>
        <v>2,1,1,2</v>
      </c>
      <c r="W28" s="12">
        <f>B18</f>
        <v>16</v>
      </c>
      <c r="X28" s="12"/>
      <c r="Y28" s="15">
        <f>VLOOKUP(W28&amp;V28,U31:X55,4,FALSE)</f>
        <v>32.200000000000003</v>
      </c>
      <c r="AA28" s="28" t="s">
        <v>138</v>
      </c>
      <c r="AB28" s="8">
        <v>70</v>
      </c>
      <c r="AC28" s="8" t="s">
        <v>78</v>
      </c>
      <c r="AH28"/>
      <c r="AI28"/>
      <c r="AJ28"/>
      <c r="AK28"/>
      <c r="AL28" s="10"/>
      <c r="AM28" s="10"/>
    </row>
    <row r="29" spans="1:151" hidden="1" x14ac:dyDescent="0.55000000000000004">
      <c r="A29" s="24"/>
      <c r="B29" s="24"/>
      <c r="C29" s="24"/>
      <c r="K29" s="5"/>
      <c r="L29" s="5"/>
      <c r="Q29" s="6">
        <v>35</v>
      </c>
      <c r="V29" s="59" t="s">
        <v>83</v>
      </c>
      <c r="W29" s="60"/>
      <c r="X29" s="60"/>
      <c r="Y29" s="61"/>
      <c r="AA29" s="25" t="s">
        <v>30</v>
      </c>
      <c r="AB29" s="3">
        <v>25</v>
      </c>
      <c r="AC29" s="3" t="s">
        <v>84</v>
      </c>
      <c r="AD29" t="s">
        <v>85</v>
      </c>
      <c r="AE29" s="43">
        <f>(AB28-AB27)/(150-25)</f>
        <v>0.18</v>
      </c>
      <c r="AH29"/>
      <c r="AI29"/>
      <c r="AJ29"/>
      <c r="AK29"/>
      <c r="AL29" s="10"/>
      <c r="AM29" s="10"/>
    </row>
    <row r="30" spans="1:151" ht="86.4" hidden="1" x14ac:dyDescent="0.55000000000000004">
      <c r="A30" s="3"/>
      <c r="K30" s="5"/>
      <c r="L30" s="5"/>
      <c r="Q30" s="6">
        <v>40</v>
      </c>
      <c r="U30" s="4" t="s">
        <v>86</v>
      </c>
      <c r="V30" s="102" t="s">
        <v>87</v>
      </c>
      <c r="W30" s="103" t="s">
        <v>73</v>
      </c>
      <c r="X30" s="104" t="s">
        <v>88</v>
      </c>
      <c r="Y30" s="22"/>
      <c r="AA30" s="25" t="s">
        <v>89</v>
      </c>
      <c r="AB30" s="3">
        <v>1.25</v>
      </c>
      <c r="AC30" s="3" t="s">
        <v>90</v>
      </c>
      <c r="AD30" s="27" t="s">
        <v>91</v>
      </c>
      <c r="AE30" s="35">
        <f>AB41+AB45+AB46+AB48+AB49+AB50+AB58</f>
        <v>1.4120575980392154</v>
      </c>
      <c r="AH30"/>
      <c r="AI30"/>
      <c r="AJ30"/>
      <c r="AK30"/>
      <c r="AL30" s="10"/>
      <c r="AM30" s="10"/>
    </row>
    <row r="31" spans="1:151" hidden="1" x14ac:dyDescent="0.55000000000000004">
      <c r="A31" s="23"/>
      <c r="K31" s="5"/>
      <c r="L31" s="5"/>
      <c r="Q31" s="6">
        <v>45</v>
      </c>
      <c r="U31" s="4" t="str">
        <f t="shared" ref="U31:U55" si="0">V31&amp;W31</f>
        <v>41,1</v>
      </c>
      <c r="V31" s="14">
        <v>4</v>
      </c>
      <c r="W31" s="12" t="s">
        <v>92</v>
      </c>
      <c r="X31" s="99">
        <v>63.6</v>
      </c>
      <c r="Y31" s="13"/>
      <c r="AA31" s="25" t="str">
        <f>IF(B16&gt;2,"Internal Layers Cu Thickness","")</f>
        <v>Internal Layers Cu Thickness</v>
      </c>
      <c r="AB31" s="3">
        <v>1</v>
      </c>
      <c r="AC31" s="3" t="str">
        <f>IF(B16&gt;2,"oz","")</f>
        <v>oz</v>
      </c>
      <c r="AH31"/>
      <c r="AI31"/>
      <c r="AJ31"/>
      <c r="AK31"/>
      <c r="AL31" s="10"/>
      <c r="AM31" s="10"/>
    </row>
    <row r="32" spans="1:151" hidden="1" x14ac:dyDescent="0.55000000000000004">
      <c r="A32" s="3"/>
      <c r="K32" s="5"/>
      <c r="L32" s="5"/>
      <c r="Q32" s="6">
        <v>50</v>
      </c>
      <c r="U32" s="4" t="str">
        <f t="shared" si="0"/>
        <v>42,2</v>
      </c>
      <c r="V32" s="14">
        <v>4</v>
      </c>
      <c r="W32" s="12" t="s">
        <v>93</v>
      </c>
      <c r="X32" s="100">
        <v>58.7</v>
      </c>
      <c r="Y32" s="15"/>
      <c r="AA32" s="25" t="s">
        <v>94</v>
      </c>
      <c r="AB32" s="3">
        <f>Y28</f>
        <v>32.200000000000003</v>
      </c>
      <c r="AC32" s="3" t="s">
        <v>95</v>
      </c>
      <c r="AH32"/>
      <c r="AI32"/>
      <c r="AJ32"/>
      <c r="AK32"/>
      <c r="AL32" s="10"/>
      <c r="AM32" s="10"/>
      <c r="EU32" s="1"/>
    </row>
    <row r="33" spans="1:151" hidden="1" x14ac:dyDescent="0.55000000000000004">
      <c r="A33" s="3"/>
      <c r="G33" s="1"/>
      <c r="K33" s="5"/>
      <c r="L33" s="5"/>
      <c r="Q33" s="6">
        <v>55</v>
      </c>
      <c r="U33" s="4" t="str">
        <f t="shared" si="0"/>
        <v>41,1,1,1</v>
      </c>
      <c r="V33" s="14">
        <v>4</v>
      </c>
      <c r="W33" s="12" t="s">
        <v>96</v>
      </c>
      <c r="X33" s="99">
        <v>54.4</v>
      </c>
      <c r="Y33" s="15"/>
      <c r="AA33" s="51" t="s">
        <v>39</v>
      </c>
      <c r="AB33" s="51" t="s">
        <v>6</v>
      </c>
      <c r="AC33" s="51" t="s">
        <v>4</v>
      </c>
      <c r="AH33"/>
      <c r="AI33"/>
      <c r="AJ33"/>
      <c r="AK33"/>
      <c r="AL33" s="10"/>
      <c r="AM33" s="10"/>
    </row>
    <row r="34" spans="1:151" s="1" customFormat="1" hidden="1" x14ac:dyDescent="0.55000000000000004">
      <c r="D34" s="6"/>
      <c r="E34" s="6"/>
      <c r="G34"/>
      <c r="H34"/>
      <c r="I34"/>
      <c r="J34"/>
      <c r="K34" s="5"/>
      <c r="L34" s="5"/>
      <c r="M34"/>
      <c r="N34"/>
      <c r="O34"/>
      <c r="P34"/>
      <c r="Q34" s="6">
        <v>60</v>
      </c>
      <c r="R34"/>
      <c r="S34"/>
      <c r="T34"/>
      <c r="U34" s="4" t="str">
        <f t="shared" si="0"/>
        <v>42,1,1,2</v>
      </c>
      <c r="V34" s="14">
        <v>4</v>
      </c>
      <c r="W34" s="12" t="s">
        <v>97</v>
      </c>
      <c r="X34" s="99">
        <v>52.5</v>
      </c>
      <c r="Y34" s="15"/>
      <c r="Z34"/>
      <c r="AA34" s="25" t="s">
        <v>98</v>
      </c>
      <c r="AB34" s="3">
        <f>ROUND((B3/SQRT(3))*AB24,2)</f>
        <v>13.72</v>
      </c>
      <c r="AC34" s="3" t="s">
        <v>8</v>
      </c>
      <c r="AD34"/>
      <c r="AE34"/>
      <c r="AF34"/>
      <c r="AG34"/>
      <c r="AH34"/>
      <c r="AI34"/>
      <c r="AJ34"/>
      <c r="AK34"/>
      <c r="AL34" s="10"/>
      <c r="AM34" s="10"/>
      <c r="AN34"/>
      <c r="EU34"/>
    </row>
    <row r="35" spans="1:151" ht="28.8" hidden="1" x14ac:dyDescent="0.55000000000000004">
      <c r="A35" s="3"/>
      <c r="K35" s="5"/>
      <c r="L35" s="5"/>
      <c r="Q35" s="6">
        <v>65</v>
      </c>
      <c r="U35" s="4" t="str">
        <f t="shared" si="0"/>
        <v>81,1</v>
      </c>
      <c r="V35" s="14">
        <v>8</v>
      </c>
      <c r="W35" s="12" t="s">
        <v>92</v>
      </c>
      <c r="X35" s="99">
        <v>52.6</v>
      </c>
      <c r="Y35" s="15"/>
      <c r="AA35" s="25" t="s">
        <v>99</v>
      </c>
      <c r="AB35" s="3">
        <f>ROUND(AB34/1.41,2)</f>
        <v>9.73</v>
      </c>
      <c r="AC35" s="3" t="s">
        <v>8</v>
      </c>
      <c r="AF35" s="1"/>
      <c r="AG35" s="1"/>
      <c r="AH35" s="1"/>
      <c r="AI35" s="1"/>
      <c r="AJ35" s="1"/>
      <c r="AK35" s="1"/>
      <c r="AL35" s="11"/>
      <c r="AM35" s="11"/>
    </row>
    <row r="36" spans="1:151" hidden="1" x14ac:dyDescent="0.55000000000000004">
      <c r="A36" s="3"/>
      <c r="K36" s="5"/>
      <c r="L36" s="5"/>
      <c r="Q36" s="6">
        <v>70</v>
      </c>
      <c r="U36" s="4" t="str">
        <f t="shared" si="0"/>
        <v>82,2</v>
      </c>
      <c r="V36" s="14">
        <v>8</v>
      </c>
      <c r="W36" s="12" t="s">
        <v>93</v>
      </c>
      <c r="X36" s="100">
        <v>46.5</v>
      </c>
      <c r="Y36" s="15"/>
      <c r="AA36" s="25"/>
      <c r="AB36" s="3"/>
      <c r="AC36" s="3"/>
      <c r="AH36"/>
      <c r="AI36"/>
      <c r="AJ36"/>
      <c r="AK36"/>
      <c r="AL36" s="10"/>
      <c r="AM36" s="10"/>
    </row>
    <row r="37" spans="1:151" hidden="1" x14ac:dyDescent="0.55000000000000004">
      <c r="A37" s="3"/>
      <c r="K37" s="5"/>
      <c r="L37" s="5"/>
      <c r="Q37" s="6">
        <v>75</v>
      </c>
      <c r="U37" s="4" t="str">
        <f t="shared" si="0"/>
        <v>81,1,1,1</v>
      </c>
      <c r="V37" s="14">
        <v>8</v>
      </c>
      <c r="W37" s="12" t="s">
        <v>96</v>
      </c>
      <c r="X37" s="99">
        <v>42.7</v>
      </c>
      <c r="Y37" s="15"/>
      <c r="AA37" s="25" t="s">
        <v>100</v>
      </c>
      <c r="AB37" s="3">
        <f>B4/0.816</f>
        <v>3.0637254901960786</v>
      </c>
      <c r="AC37" s="3" t="s">
        <v>12</v>
      </c>
      <c r="AH37"/>
      <c r="AI37"/>
      <c r="AJ37"/>
      <c r="AK37"/>
      <c r="AL37" s="10"/>
      <c r="AM37" s="10"/>
    </row>
    <row r="38" spans="1:151" hidden="1" x14ac:dyDescent="0.55000000000000004">
      <c r="A38" s="3"/>
      <c r="K38" s="5"/>
      <c r="L38" s="5"/>
      <c r="Q38" s="6">
        <v>80</v>
      </c>
      <c r="U38" s="4" t="str">
        <f t="shared" si="0"/>
        <v>82,1,1,2</v>
      </c>
      <c r="V38" s="14">
        <v>8</v>
      </c>
      <c r="W38" s="12" t="s">
        <v>97</v>
      </c>
      <c r="X38" s="99">
        <v>40.5</v>
      </c>
      <c r="Y38" s="15"/>
      <c r="AA38" s="28" t="s">
        <v>101</v>
      </c>
      <c r="AB38" s="8">
        <f>B3/B12</f>
        <v>0.48</v>
      </c>
      <c r="AC38" s="8" t="s">
        <v>21</v>
      </c>
      <c r="AH38"/>
      <c r="AI38"/>
      <c r="AJ38"/>
      <c r="AK38"/>
      <c r="AL38" s="10"/>
      <c r="AM38" s="10"/>
    </row>
    <row r="39" spans="1:151" ht="43.2" hidden="1" x14ac:dyDescent="0.55000000000000004">
      <c r="A39" s="3"/>
      <c r="K39" s="5"/>
      <c r="L39" s="5"/>
      <c r="Q39" s="6">
        <v>85</v>
      </c>
      <c r="U39" s="4" t="str">
        <f t="shared" si="0"/>
        <v>161,1</v>
      </c>
      <c r="V39" s="14">
        <v>16</v>
      </c>
      <c r="W39" s="12" t="s">
        <v>92</v>
      </c>
      <c r="X39" s="99">
        <v>45.7</v>
      </c>
      <c r="Y39" s="15"/>
      <c r="AA39" s="28" t="s">
        <v>102</v>
      </c>
      <c r="AB39" s="8">
        <f>VLOOKUP(B12,O24:P27,2,FALSE)</f>
        <v>1.1000000000000001</v>
      </c>
      <c r="AC39" s="8" t="s">
        <v>21</v>
      </c>
      <c r="AH39"/>
      <c r="AI39"/>
      <c r="AJ39"/>
      <c r="AK39"/>
      <c r="AL39" s="10"/>
      <c r="AM39" s="10"/>
    </row>
    <row r="40" spans="1:151" hidden="1" x14ac:dyDescent="0.55000000000000004">
      <c r="A40" s="3"/>
      <c r="K40" s="5"/>
      <c r="L40" s="5"/>
      <c r="Q40" s="6">
        <v>90</v>
      </c>
      <c r="U40" s="4" t="str">
        <f t="shared" si="0"/>
        <v>162,2</v>
      </c>
      <c r="V40" s="14">
        <v>16</v>
      </c>
      <c r="W40" s="12" t="s">
        <v>93</v>
      </c>
      <c r="X40" s="100">
        <v>38.4</v>
      </c>
      <c r="Y40" s="16"/>
      <c r="AA40" s="47" t="s">
        <v>103</v>
      </c>
      <c r="AB40" s="24" t="s">
        <v>6</v>
      </c>
      <c r="AC40" s="24" t="s">
        <v>4</v>
      </c>
      <c r="AH40"/>
      <c r="AI40"/>
      <c r="AJ40"/>
      <c r="AK40"/>
      <c r="AL40" s="10"/>
      <c r="AM40" s="10"/>
    </row>
    <row r="41" spans="1:151" hidden="1" x14ac:dyDescent="0.55000000000000004">
      <c r="A41" s="3"/>
      <c r="K41" s="5"/>
      <c r="L41" s="5"/>
      <c r="Q41" s="6">
        <v>95</v>
      </c>
      <c r="U41" s="4" t="str">
        <f t="shared" si="0"/>
        <v>161,1,1,1</v>
      </c>
      <c r="V41" s="14">
        <v>16</v>
      </c>
      <c r="W41" s="12" t="s">
        <v>96</v>
      </c>
      <c r="X41" s="99">
        <v>34.6</v>
      </c>
      <c r="Y41" s="15"/>
      <c r="AA41" s="25" t="s">
        <v>104</v>
      </c>
      <c r="AB41" s="46">
        <f>B3*AB26/1000</f>
        <v>0.36</v>
      </c>
      <c r="AC41" s="3"/>
      <c r="AH41"/>
      <c r="AI41"/>
      <c r="AJ41"/>
      <c r="AK41"/>
      <c r="AL41" s="10"/>
      <c r="AM41" s="10"/>
    </row>
    <row r="42" spans="1:151" hidden="1" x14ac:dyDescent="0.55000000000000004">
      <c r="A42" s="3"/>
      <c r="K42" s="5"/>
      <c r="L42" s="5"/>
      <c r="U42" s="4" t="str">
        <f t="shared" si="0"/>
        <v>162,1,1,2</v>
      </c>
      <c r="V42" s="14">
        <v>16</v>
      </c>
      <c r="W42" s="12" t="s">
        <v>97</v>
      </c>
      <c r="X42" s="99">
        <v>32.200000000000003</v>
      </c>
      <c r="Y42" s="15"/>
      <c r="AA42" s="25"/>
      <c r="AB42" s="3"/>
      <c r="AC42" s="3"/>
      <c r="AH42"/>
      <c r="AI42"/>
      <c r="AJ42"/>
      <c r="AK42"/>
      <c r="AL42" s="10"/>
      <c r="AM42" s="10"/>
    </row>
    <row r="43" spans="1:151" hidden="1" x14ac:dyDescent="0.55000000000000004">
      <c r="A43" s="3"/>
      <c r="K43" s="5"/>
      <c r="L43" s="5"/>
      <c r="U43" s="4" t="str">
        <f t="shared" si="0"/>
        <v>321,1</v>
      </c>
      <c r="V43" s="14">
        <v>32</v>
      </c>
      <c r="W43" s="12" t="s">
        <v>92</v>
      </c>
      <c r="X43" s="99">
        <v>41.8</v>
      </c>
      <c r="Y43" s="15"/>
      <c r="AA43" s="47" t="s">
        <v>105</v>
      </c>
      <c r="AB43" s="24" t="s">
        <v>6</v>
      </c>
      <c r="AC43" s="24" t="s">
        <v>4</v>
      </c>
      <c r="AH43"/>
      <c r="AI43"/>
      <c r="AJ43"/>
      <c r="AK43"/>
      <c r="AL43" s="10"/>
      <c r="AM43" s="10"/>
    </row>
    <row r="44" spans="1:151" hidden="1" x14ac:dyDescent="0.55000000000000004">
      <c r="A44" s="3"/>
      <c r="K44" s="5"/>
      <c r="L44" s="5"/>
      <c r="U44" s="4" t="str">
        <f t="shared" si="0"/>
        <v>322,2</v>
      </c>
      <c r="V44" s="14">
        <v>32</v>
      </c>
      <c r="W44" s="12" t="s">
        <v>93</v>
      </c>
      <c r="X44" s="100">
        <v>33.4</v>
      </c>
      <c r="Y44" s="15"/>
      <c r="AA44" s="48" t="s">
        <v>106</v>
      </c>
      <c r="AB44" s="45">
        <f>ROUND(2*AB37*AB37*AL24/(1000),3)</f>
        <v>1.17</v>
      </c>
      <c r="AC44" s="3" t="s">
        <v>10</v>
      </c>
      <c r="AD44" s="44" t="s">
        <v>107</v>
      </c>
      <c r="AH44"/>
      <c r="AI44"/>
      <c r="AJ44"/>
      <c r="AK44"/>
      <c r="AL44" s="10"/>
      <c r="AM44" s="10"/>
    </row>
    <row r="45" spans="1:151" hidden="1" x14ac:dyDescent="0.55000000000000004">
      <c r="A45" s="3"/>
      <c r="K45" s="5"/>
      <c r="L45" s="5"/>
      <c r="U45" s="4" t="str">
        <f t="shared" si="0"/>
        <v>321,1,1,1</v>
      </c>
      <c r="V45" s="14">
        <v>32</v>
      </c>
      <c r="W45" s="12" t="s">
        <v>96</v>
      </c>
      <c r="X45" s="99">
        <v>29.6</v>
      </c>
      <c r="Y45" s="15"/>
      <c r="AA45" s="48" t="s">
        <v>108</v>
      </c>
      <c r="AB45" s="46">
        <f>ROUND(B3*AB37*AB38/1000000*B11*1000,3)</f>
        <v>0.70599999999999996</v>
      </c>
      <c r="AC45" s="3" t="s">
        <v>10</v>
      </c>
      <c r="AD45" s="44" t="s">
        <v>109</v>
      </c>
      <c r="AH45"/>
      <c r="AI45"/>
      <c r="AJ45"/>
      <c r="AK45"/>
      <c r="AL45" s="10"/>
      <c r="AM45" s="10"/>
    </row>
    <row r="46" spans="1:151" hidden="1" x14ac:dyDescent="0.55000000000000004">
      <c r="A46" s="3"/>
      <c r="K46" s="5"/>
      <c r="L46" s="5"/>
      <c r="U46" s="4" t="str">
        <f t="shared" si="0"/>
        <v>322,1,1,2</v>
      </c>
      <c r="V46" s="14">
        <v>32</v>
      </c>
      <c r="W46" s="12" t="s">
        <v>97</v>
      </c>
      <c r="X46" s="99">
        <v>26.9</v>
      </c>
      <c r="Y46" s="15"/>
      <c r="AA46" s="48" t="s">
        <v>110</v>
      </c>
      <c r="AB46" s="46">
        <f>AB30*5*B11*0.000000001*1000</f>
        <v>1.2500000000000003E-4</v>
      </c>
      <c r="AC46" s="3" t="s">
        <v>10</v>
      </c>
      <c r="AD46" s="43" t="s">
        <v>111</v>
      </c>
      <c r="AH46"/>
      <c r="AI46"/>
      <c r="AJ46"/>
      <c r="AK46"/>
      <c r="AL46" s="10"/>
      <c r="AM46" s="10"/>
    </row>
    <row r="47" spans="1:151" hidden="1" x14ac:dyDescent="0.55000000000000004">
      <c r="A47" s="3"/>
      <c r="K47" s="5"/>
      <c r="L47" s="5"/>
      <c r="U47" s="4" t="str">
        <f t="shared" si="0"/>
        <v>641,1</v>
      </c>
      <c r="V47" s="14">
        <v>64</v>
      </c>
      <c r="W47" s="12" t="s">
        <v>92</v>
      </c>
      <c r="X47" s="99">
        <v>39.9</v>
      </c>
      <c r="Y47" s="15"/>
      <c r="AA47" s="48" t="s">
        <v>112</v>
      </c>
      <c r="AB47" s="45">
        <f>AB44+AB45+AB46</f>
        <v>1.8761249999999998</v>
      </c>
      <c r="AC47" s="3" t="s">
        <v>10</v>
      </c>
      <c r="AH47"/>
      <c r="AI47"/>
      <c r="AJ47"/>
      <c r="AK47"/>
      <c r="AL47" s="10"/>
      <c r="AM47" s="10"/>
    </row>
    <row r="48" spans="1:151" hidden="1" x14ac:dyDescent="0.55000000000000004">
      <c r="A48" s="3"/>
      <c r="K48" s="5"/>
      <c r="L48" s="5"/>
      <c r="U48" s="4" t="str">
        <f t="shared" si="0"/>
        <v>642,2</v>
      </c>
      <c r="V48" s="14">
        <v>64</v>
      </c>
      <c r="W48" s="12" t="s">
        <v>93</v>
      </c>
      <c r="X48" s="100">
        <v>30.8</v>
      </c>
      <c r="Y48" s="15"/>
      <c r="AA48" s="49" t="s">
        <v>113</v>
      </c>
      <c r="AB48" s="55">
        <f>2*0.7*AB37*B11*1000*AB39/1000000</f>
        <v>9.4362745098039214E-2</v>
      </c>
      <c r="AC48" s="3" t="s">
        <v>10</v>
      </c>
      <c r="AD48" s="44" t="s">
        <v>114</v>
      </c>
      <c r="AH48"/>
      <c r="AI48"/>
      <c r="AJ48"/>
      <c r="AK48"/>
      <c r="AL48" s="10"/>
      <c r="AM48" s="10"/>
    </row>
    <row r="49" spans="1:151" hidden="1" x14ac:dyDescent="0.55000000000000004">
      <c r="A49" s="3"/>
      <c r="K49" s="5"/>
      <c r="L49" s="5"/>
      <c r="U49" s="4" t="str">
        <f t="shared" si="0"/>
        <v>641,1,1,1</v>
      </c>
      <c r="V49" s="14">
        <v>64</v>
      </c>
      <c r="W49" s="12" t="s">
        <v>96</v>
      </c>
      <c r="X49" s="99">
        <v>26.6</v>
      </c>
      <c r="Y49" s="15"/>
      <c r="AA49" s="50" t="s">
        <v>115</v>
      </c>
      <c r="AB49" s="55">
        <f>(B3-3.3)*B13*0.001</f>
        <v>0.10350000000000001</v>
      </c>
      <c r="AC49" s="3" t="s">
        <v>10</v>
      </c>
      <c r="AD49" s="43" t="s">
        <v>116</v>
      </c>
      <c r="AH49"/>
      <c r="AI49"/>
      <c r="AJ49"/>
      <c r="AK49"/>
      <c r="AL49" s="10"/>
      <c r="AM49" s="10"/>
    </row>
    <row r="50" spans="1:151" hidden="1" x14ac:dyDescent="0.55000000000000004">
      <c r="A50" s="24"/>
      <c r="B50" s="24"/>
      <c r="C50" s="24"/>
      <c r="F50" s="5"/>
      <c r="K50" s="5"/>
      <c r="L50" s="5"/>
      <c r="U50" s="4" t="str">
        <f t="shared" si="0"/>
        <v>642,1,1,2</v>
      </c>
      <c r="V50" s="36">
        <v>64</v>
      </c>
      <c r="W50" s="37" t="s">
        <v>97</v>
      </c>
      <c r="X50" s="101">
        <v>23.7</v>
      </c>
      <c r="Y50" s="38"/>
      <c r="AA50" s="49" t="s">
        <v>117</v>
      </c>
      <c r="AB50" s="55">
        <v>6.25E-2</v>
      </c>
      <c r="AC50" s="3" t="s">
        <v>10</v>
      </c>
      <c r="AD50" t="s">
        <v>118</v>
      </c>
      <c r="AH50"/>
      <c r="AI50"/>
      <c r="AJ50"/>
      <c r="AK50"/>
      <c r="AL50" s="10"/>
      <c r="AM50" s="10"/>
    </row>
    <row r="51" spans="1:151" hidden="1" x14ac:dyDescent="0.55000000000000004">
      <c r="A51" s="25"/>
      <c r="E51" s="3"/>
      <c r="F51" s="3"/>
      <c r="K51" s="5"/>
      <c r="L51" s="5"/>
      <c r="U51" s="40" t="str">
        <f t="shared" si="0"/>
        <v>43,1,1,3</v>
      </c>
      <c r="V51" s="39">
        <v>4</v>
      </c>
      <c r="W51" s="12" t="s">
        <v>119</v>
      </c>
      <c r="X51" s="99">
        <v>51.4</v>
      </c>
      <c r="Y51" s="41"/>
      <c r="AA51" s="25"/>
      <c r="AB51" s="3"/>
      <c r="AC51" s="3"/>
      <c r="AH51"/>
      <c r="AI51"/>
      <c r="AJ51"/>
      <c r="AK51"/>
      <c r="AL51" s="10"/>
      <c r="AM51" s="10"/>
    </row>
    <row r="52" spans="1:151" hidden="1" x14ac:dyDescent="0.55000000000000004">
      <c r="A52" s="3"/>
      <c r="F52" s="5"/>
      <c r="U52" s="40" t="str">
        <f t="shared" si="0"/>
        <v>83,1,1,3</v>
      </c>
      <c r="V52" s="39">
        <v>8</v>
      </c>
      <c r="W52" s="12" t="s">
        <v>119</v>
      </c>
      <c r="X52" s="99">
        <v>39.200000000000003</v>
      </c>
      <c r="Y52" s="41"/>
      <c r="AA52" s="51" t="s">
        <v>39</v>
      </c>
      <c r="AB52" s="51" t="s">
        <v>6</v>
      </c>
      <c r="AC52" s="51" t="s">
        <v>4</v>
      </c>
      <c r="AH52"/>
      <c r="AI52"/>
      <c r="AJ52"/>
      <c r="AK52"/>
      <c r="AL52" s="10"/>
      <c r="AM52" s="10"/>
    </row>
    <row r="53" spans="1:151" hidden="1" x14ac:dyDescent="0.55000000000000004">
      <c r="A53" s="23"/>
      <c r="K53" s="5"/>
      <c r="U53" s="40" t="str">
        <f t="shared" si="0"/>
        <v>163,1,1,3</v>
      </c>
      <c r="V53" s="39">
        <v>16</v>
      </c>
      <c r="W53" s="12" t="s">
        <v>119</v>
      </c>
      <c r="X53" s="99">
        <v>30.8</v>
      </c>
      <c r="Y53" s="41"/>
      <c r="AA53" s="4" t="s">
        <v>120</v>
      </c>
      <c r="AH53"/>
      <c r="AI53"/>
      <c r="AJ53"/>
      <c r="AK53"/>
      <c r="AL53" s="10"/>
      <c r="AM53" s="10"/>
      <c r="EU53" s="4"/>
    </row>
    <row r="54" spans="1:151" hidden="1" x14ac:dyDescent="0.55000000000000004">
      <c r="A54" s="24"/>
      <c r="B54" s="24"/>
      <c r="C54" s="24"/>
      <c r="G54" s="4"/>
      <c r="U54" s="40" t="str">
        <f t="shared" si="0"/>
        <v>323,1,1,3</v>
      </c>
      <c r="V54" s="39">
        <v>32</v>
      </c>
      <c r="W54" s="12" t="s">
        <v>119</v>
      </c>
      <c r="X54" s="99">
        <v>25.4</v>
      </c>
      <c r="Y54" s="41"/>
      <c r="AA54" s="25" t="s">
        <v>121</v>
      </c>
      <c r="AB54" s="3">
        <f>B9*B10</f>
        <v>0</v>
      </c>
      <c r="AC54" s="3" t="s">
        <v>8</v>
      </c>
      <c r="AD54" s="10"/>
      <c r="AE54" s="10"/>
      <c r="AH54"/>
      <c r="AI54"/>
      <c r="AJ54"/>
      <c r="AK54"/>
      <c r="AL54" s="10"/>
      <c r="AM54" s="10"/>
      <c r="EU54" s="4"/>
    </row>
    <row r="55" spans="1:151" s="4" customFormat="1" ht="43.5" hidden="1" thickBot="1" x14ac:dyDescent="0.6">
      <c r="A55" s="25"/>
      <c r="D55" s="7"/>
      <c r="E55" s="7"/>
      <c r="H55"/>
      <c r="I55"/>
      <c r="J55"/>
      <c r="K55"/>
      <c r="L55"/>
      <c r="M55"/>
      <c r="N55"/>
      <c r="O55"/>
      <c r="P55"/>
      <c r="Q55"/>
      <c r="R55"/>
      <c r="S55"/>
      <c r="T55"/>
      <c r="U55" s="40" t="str">
        <f t="shared" si="0"/>
        <v>643,1,1,3</v>
      </c>
      <c r="V55" s="105">
        <v>64</v>
      </c>
      <c r="W55" s="37" t="s">
        <v>119</v>
      </c>
      <c r="X55" s="101">
        <v>22</v>
      </c>
      <c r="Y55" s="42"/>
      <c r="Z55"/>
      <c r="AA55" s="28" t="s">
        <v>122</v>
      </c>
      <c r="AB55" s="8">
        <f>IF(B7=0,IF(B6="Wye",(AB37*3*B8*1000)/(B3+(2*AB54)),(AB37*B8*1000)/(B3+AB54)),B7)</f>
        <v>100</v>
      </c>
      <c r="AC55" s="8" t="s">
        <v>21</v>
      </c>
      <c r="AD55" s="50" t="s">
        <v>123</v>
      </c>
      <c r="AE55" s="52" t="s">
        <v>124</v>
      </c>
      <c r="AF55"/>
      <c r="AG55" s="53"/>
      <c r="AH55"/>
      <c r="AI55"/>
      <c r="AJ55"/>
      <c r="AK55"/>
      <c r="AL55" s="10"/>
      <c r="AM55" s="10"/>
      <c r="AN55"/>
      <c r="EU55"/>
    </row>
    <row r="56" spans="1:151" s="4" customFormat="1" ht="43.2" hidden="1" x14ac:dyDescent="0.55000000000000004">
      <c r="A56" s="24"/>
      <c r="B56" s="24"/>
      <c r="C56" s="24"/>
      <c r="D56" s="7"/>
      <c r="E56" s="7"/>
      <c r="G56"/>
      <c r="H56"/>
      <c r="I56"/>
      <c r="J56"/>
      <c r="AA56" s="25" t="s">
        <v>125</v>
      </c>
      <c r="AB56" s="3">
        <f>6*(1/2)*0.7*AB37*AB55/1000000*B10</f>
        <v>8.5569852941176472E-2</v>
      </c>
      <c r="AC56" s="3" t="s">
        <v>10</v>
      </c>
      <c r="AD56" s="45" t="s">
        <v>126</v>
      </c>
      <c r="AE56" s="54"/>
      <c r="AG56" s="54"/>
      <c r="AN56"/>
      <c r="EU56"/>
    </row>
    <row r="57" spans="1:151" ht="57.6" hidden="1" x14ac:dyDescent="0.55000000000000004">
      <c r="A57" s="2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25" t="s">
        <v>127</v>
      </c>
      <c r="AB57" s="3">
        <f>6*(1/3)*AB37*AB37*AH24/1000*AB55/1000000*B10</f>
        <v>1.1859733936466745E-2</v>
      </c>
      <c r="AC57" s="3" t="s">
        <v>10</v>
      </c>
      <c r="AD57" s="48" t="s">
        <v>128</v>
      </c>
      <c r="AE57" s="54"/>
      <c r="AF57" s="4"/>
      <c r="AG57" s="54"/>
      <c r="AH57" s="4"/>
      <c r="AI57" s="4"/>
      <c r="AJ57" s="4"/>
      <c r="AK57" s="4"/>
      <c r="AL57" s="4"/>
      <c r="AM57" s="4"/>
    </row>
    <row r="58" spans="1:151" hidden="1" x14ac:dyDescent="0.55000000000000004">
      <c r="A58" s="3"/>
      <c r="AA58" s="25" t="s">
        <v>129</v>
      </c>
      <c r="AB58" s="56">
        <f>IF($B$5="No",AB56,AB57)</f>
        <v>8.5569852941176472E-2</v>
      </c>
      <c r="AC58" s="3" t="s">
        <v>10</v>
      </c>
      <c r="AH58"/>
      <c r="AI58"/>
      <c r="AJ58"/>
      <c r="AK58"/>
      <c r="AL58" s="10"/>
      <c r="AM58" s="10"/>
      <c r="EO58" s="10"/>
      <c r="EP58" s="10"/>
      <c r="EQ58" s="10"/>
      <c r="ER58" s="10"/>
    </row>
    <row r="59" spans="1:151" hidden="1" x14ac:dyDescent="0.55000000000000004">
      <c r="A59" s="3"/>
      <c r="AH59"/>
      <c r="AI59"/>
      <c r="AJ59"/>
      <c r="AK59"/>
      <c r="EO59" s="10"/>
      <c r="EP59" s="10"/>
      <c r="EQ59" s="10"/>
      <c r="ER59" s="10"/>
    </row>
    <row r="60" spans="1:151" hidden="1" x14ac:dyDescent="0.55000000000000004">
      <c r="A60" s="3"/>
      <c r="AH60"/>
      <c r="AI60"/>
      <c r="AJ60"/>
      <c r="AK60"/>
      <c r="EO60" s="10"/>
      <c r="EP60" s="10"/>
      <c r="EQ60" s="10"/>
      <c r="ER60" s="10"/>
    </row>
    <row r="61" spans="1:151" hidden="1" x14ac:dyDescent="0.55000000000000004">
      <c r="A61" s="3"/>
      <c r="AH61"/>
      <c r="AI61"/>
      <c r="AJ61"/>
      <c r="AK61"/>
      <c r="EO61" s="10"/>
      <c r="EP61" s="10"/>
      <c r="EQ61" s="10"/>
      <c r="ER61" s="10"/>
    </row>
    <row r="62" spans="1:151" hidden="1" x14ac:dyDescent="0.55000000000000004">
      <c r="A62" s="3"/>
      <c r="EM62" s="10"/>
      <c r="EN62" s="10"/>
      <c r="EO62" s="10"/>
      <c r="EP62" s="10"/>
    </row>
    <row r="63" spans="1:151" hidden="1" x14ac:dyDescent="0.55000000000000004">
      <c r="A63" s="3"/>
      <c r="EM63" s="10"/>
      <c r="EN63" s="10"/>
      <c r="EO63" s="10"/>
      <c r="EP63" s="10"/>
    </row>
    <row r="64" spans="1:151" hidden="1" x14ac:dyDescent="0.55000000000000004">
      <c r="A64" s="3"/>
      <c r="EM64" s="10"/>
      <c r="EN64" s="10"/>
      <c r="EO64" s="10"/>
      <c r="EP64" s="10"/>
    </row>
    <row r="65" spans="1:1" hidden="1" x14ac:dyDescent="0.55000000000000004">
      <c r="A65" s="3"/>
    </row>
    <row r="66" spans="1:1" ht="43.5" hidden="1" customHeight="1" x14ac:dyDescent="0.55000000000000004">
      <c r="A66" s="3"/>
    </row>
    <row r="67" spans="1:1" hidden="1" x14ac:dyDescent="0.55000000000000004">
      <c r="A67" s="3"/>
    </row>
    <row r="68" spans="1:1" hidden="1" x14ac:dyDescent="0.55000000000000004">
      <c r="A68" s="3"/>
    </row>
    <row r="69" spans="1:1" hidden="1" x14ac:dyDescent="0.55000000000000004">
      <c r="A69" s="3"/>
    </row>
    <row r="70" spans="1:1" hidden="1" x14ac:dyDescent="0.55000000000000004">
      <c r="A70" s="3"/>
    </row>
    <row r="71" spans="1:1" hidden="1" x14ac:dyDescent="0.55000000000000004">
      <c r="A71" s="3"/>
    </row>
    <row r="72" spans="1:1" hidden="1" x14ac:dyDescent="0.55000000000000004">
      <c r="A72" s="3"/>
    </row>
    <row r="73" spans="1:1" hidden="1" x14ac:dyDescent="0.55000000000000004">
      <c r="A73" s="3"/>
    </row>
    <row r="74" spans="1:1" hidden="1" x14ac:dyDescent="0.55000000000000004">
      <c r="A74" s="3"/>
    </row>
    <row r="75" spans="1:1" hidden="1" x14ac:dyDescent="0.55000000000000004">
      <c r="A75" s="3"/>
    </row>
    <row r="76" spans="1:1" hidden="1" x14ac:dyDescent="0.55000000000000004">
      <c r="A76" s="3"/>
    </row>
    <row r="77" spans="1:1" hidden="1" x14ac:dyDescent="0.55000000000000004">
      <c r="A77" s="3"/>
    </row>
    <row r="78" spans="1:1" hidden="1" x14ac:dyDescent="0.55000000000000004">
      <c r="A78" s="3"/>
    </row>
    <row r="79" spans="1:1" hidden="1" x14ac:dyDescent="0.55000000000000004">
      <c r="A79" s="3"/>
    </row>
    <row r="80" spans="1:1" hidden="1" x14ac:dyDescent="0.55000000000000004">
      <c r="A80" s="3"/>
    </row>
    <row r="81" spans="1:33" hidden="1" x14ac:dyDescent="0.55000000000000004">
      <c r="A81" s="3"/>
    </row>
    <row r="82" spans="1:33" hidden="1" x14ac:dyDescent="0.55000000000000004">
      <c r="A82" s="3"/>
    </row>
    <row r="83" spans="1:33" hidden="1" x14ac:dyDescent="0.55000000000000004">
      <c r="A83" s="3"/>
    </row>
    <row r="84" spans="1:33" hidden="1" x14ac:dyDescent="0.55000000000000004">
      <c r="A84" s="3"/>
    </row>
    <row r="85" spans="1:33" hidden="1" x14ac:dyDescent="0.55000000000000004">
      <c r="A85" s="3"/>
    </row>
    <row r="86" spans="1:33" hidden="1" x14ac:dyDescent="0.55000000000000004">
      <c r="A86" s="3"/>
    </row>
    <row r="87" spans="1:33" hidden="1" x14ac:dyDescent="0.55000000000000004">
      <c r="A87" s="3"/>
    </row>
    <row r="88" spans="1:33" hidden="1" x14ac:dyDescent="0.55000000000000004">
      <c r="A88" s="3"/>
    </row>
    <row r="89" spans="1:33" hidden="1" x14ac:dyDescent="0.55000000000000004">
      <c r="A89" s="3"/>
    </row>
    <row r="90" spans="1:33" hidden="1" x14ac:dyDescent="0.55000000000000004">
      <c r="A90" s="3"/>
    </row>
    <row r="91" spans="1:33" hidden="1" x14ac:dyDescent="0.55000000000000004">
      <c r="A91" s="3"/>
    </row>
    <row r="92" spans="1:33" hidden="1" x14ac:dyDescent="0.55000000000000004">
      <c r="AG92" s="5"/>
    </row>
    <row r="93" spans="1:33" hidden="1" x14ac:dyDescent="0.55000000000000004">
      <c r="AG93" s="5"/>
    </row>
    <row r="94" spans="1:33" hidden="1" x14ac:dyDescent="0.55000000000000004">
      <c r="AG94" s="5"/>
    </row>
  </sheetData>
  <sheetProtection algorithmName="SHA-512" hashValue="DV9m9RrnnQBwJzJG+17oq6p79Sikfnd/RtqnbgcjkPff2F1yWeH2UXIB0ls6w/4whpCnXGfJHLoFQWk+XoWamg==" saltValue="B1eVRd6AdKvv+0eQri8+ew==" spinCount="100000" sheet="1" objects="1" scenarios="1"/>
  <mergeCells count="2">
    <mergeCell ref="B1:F1"/>
    <mergeCell ref="A19:C19"/>
  </mergeCells>
  <conditionalFormatting sqref="E4">
    <cfRule type="cellIs" dxfId="29" priority="1" operator="lessThan">
      <formula>125</formula>
    </cfRule>
    <cfRule type="cellIs" dxfId="28" priority="2" operator="greaterThan">
      <formula>125</formula>
    </cfRule>
  </conditionalFormatting>
  <dataValidations count="19">
    <dataValidation type="list" allowBlank="1" showInputMessage="1" showErrorMessage="1" prompt="Select copper thickness of top/bottom layers (oz)" sqref="B17" xr:uid="{4C47EAB3-A439-414F-AAA6-ABDB0DC29579}">
      <formula1>$L$24:$L$26</formula1>
    </dataValidation>
    <dataValidation type="list" allowBlank="1" showInputMessage="1" showErrorMessage="1" prompt="Select wye or delta motor configuration" sqref="B6" xr:uid="{DB4D584A-5F7A-42DE-B6FB-B3C99911864B}">
      <formula1>$S$24:$S$25</formula1>
    </dataValidation>
    <dataValidation type="list" allowBlank="1" showInputMessage="1" showErrorMessage="1" prompt="Select yes or no if active demag is enabled" sqref="B5" xr:uid="{700A4829-91FC-47F9-BC85-2480ACAD4939}">
      <formula1>$R$24:$R$25</formula1>
    </dataValidation>
    <dataValidation type="list" allowBlank="1" showInputMessage="1" showErrorMessage="1" prompt="Select an output slew rate setting (V/us)" sqref="B12" xr:uid="{0C480F56-F83A-4974-8A2C-0FF22FD9C44A}">
      <formula1>$O$24:$O$27</formula1>
    </dataValidation>
    <dataValidation type="list" allowBlank="1" showInputMessage="1" showErrorMessage="1" prompt="Select PCB area (cm2)" sqref="B18" xr:uid="{459E38AF-950C-45B9-AB5B-48C2E51ED6B8}">
      <formula1>$N$24:$N$28</formula1>
    </dataValidation>
    <dataValidation type="list" allowBlank="1" showInputMessage="1" showErrorMessage="1" prompt="Select # of PCB Layers" sqref="B16" xr:uid="{9F087D8C-E295-45EA-B5FD-576B093BFA7C}">
      <formula1>$K$24:$K$25</formula1>
    </dataValidation>
    <dataValidation type="list" allowBlank="1" showInputMessage="1" showErrorMessage="1" error="This PWM frequency is outside of the operating range of the DRV8316" prompt="Select a PWM frequency between 10kHz and 95kHz" sqref="B11" xr:uid="{101D6165-5AA6-4EF6-8E67-B99F9B42C2E0}">
      <formula1>$Q$24:$Q$41</formula1>
    </dataValidation>
    <dataValidation type="list" allowBlank="1" showInputMessage="1" showErrorMessage="1" prompt="Select copper thickness of top/bottom layers (oz)" sqref="B18" xr:uid="{245F1535-E322-4EA0-BABB-68CFBB452A0A}">
      <formula1>$N$24:$N$28</formula1>
    </dataValidation>
    <dataValidation allowBlank="1" showInputMessage="1" showErrorMessage="1" prompt="Enter the motor's commutation time (tcomm) as shown on the diagram to the right. If unknown, enter &quot;0&quot;" sqref="B7" xr:uid="{21366D94-B8C8-4290-8F2A-F8202E353B8C}"/>
    <dataValidation allowBlank="1" showInputMessage="1" showErrorMessage="1" prompt="Enter the motor's phase inductance in mH" sqref="B8" xr:uid="{17AC4592-0051-4513-B096-A754CD6AD57C}"/>
    <dataValidation allowBlank="1" showInputMessage="1" showErrorMessage="1" prompt="Enter the motor phase's Back-EMF constant (Ke_ph)" sqref="B9" xr:uid="{0138A16E-2408-4C14-AC6D-0F9B6FB11F59}"/>
    <dataValidation allowBlank="1" showInputMessage="1" showErrorMessage="1" prompt="Enter the motor's electrical frequency in Hz" sqref="B10" xr:uid="{E72820CB-9A37-4EA1-ADB5-94E50440BFC0}"/>
    <dataValidation type="decimal" allowBlank="1" showInputMessage="1" showErrorMessage="1" error="AVDD output current out of range" prompt="Enter the AVDD output load current between 0 to 20 mA" sqref="B13" xr:uid="{DDEBBA72-DCD3-43F2-A8E6-12E14FF1A8B9}">
      <formula1>0</formula1>
      <formula2>20</formula2>
    </dataValidation>
    <dataValidation allowBlank="1" showInputMessage="1" showErrorMessage="1" prompt="Enter the operating ambient temperature" sqref="AB29" xr:uid="{0414E482-4D2C-46BD-BA25-591DFF639B01}"/>
    <dataValidation type="decimal" allowBlank="1" showInputMessage="1" showErrorMessage="1" error="This voltage is outside the operating range of the DRV8316" prompt="Enter a motor supply voltage between 4.5 to 35 volts" sqref="B3" xr:uid="{665D1897-FB5F-4A41-9E52-E75CB4ED29C8}">
      <formula1>4.5</formula1>
      <formula2>35</formula2>
    </dataValidation>
    <dataValidation type="list" allowBlank="1" showInputMessage="1" showErrorMessage="1" prompt="Select copper thickness of internal layers if more than 2 layer PCB (oz)" sqref="AB31" xr:uid="{FD7035A2-DD58-4802-92FF-EBADFBF5D524}">
      <formula1>$M$24:$M$25</formula1>
    </dataValidation>
    <dataValidation type="list" allowBlank="1" showInputMessage="1" showErrorMessage="1" prompt="Select copper thickness of top/bottom layers (oz)" sqref="AB31 AJ23" xr:uid="{41AC0761-3FCF-48F6-AFAA-A87EAAA3BD16}">
      <formula1>$L$24:$L$25</formula1>
    </dataValidation>
    <dataValidation type="decimal" allowBlank="1" showInputMessage="1" showErrorMessage="1" error="This current is outside the operating range of the DRV8316" prompt="Enter an RMS current between 0 and 6.53 amps" sqref="B4" xr:uid="{658A42C5-0F1D-4D50-9080-79E75D2E680A}">
      <formula1>0</formula1>
      <formula2>6.53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4" xr:uid="{D75EC7E4-E067-40FD-AC27-1A67EEA2F34D}">
      <formula1>-40</formula1>
      <formula2>125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90CF5D1712414994CF73E5254FE8C3" ma:contentTypeVersion="1" ma:contentTypeDescription="Create a new document." ma:contentTypeScope="" ma:versionID="ac4f493a9480fb403711dc4be70bc4e3">
  <xsd:schema xmlns:xsd="http://www.w3.org/2001/XMLSchema" xmlns:xs="http://www.w3.org/2001/XMLSchema" xmlns:p="http://schemas.microsoft.com/office/2006/metadata/properties" xmlns:ns2="6f2f0605-bfee-4698-a78a-575fc242f63d" targetNamespace="http://schemas.microsoft.com/office/2006/metadata/properties" ma:root="true" ma:fieldsID="a99885eb63a62de0bdef9ae51f933929" ns2:_="">
    <xsd:import namespace="6f2f0605-bfee-4698-a78a-575fc242f63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f0605-bfee-4698-a78a-575fc242f6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290E8A-00E3-409B-B9C8-223FDDD1A8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f0605-bfee-4698-a78a-575fc242f6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D38FC-285B-4D91-A2F6-66B0401DBE63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f2f0605-bfee-4698-a78a-575fc242f6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975F34-5E1B-4940-B1BA-631ACFF72C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MCF8315C_RRY_FOC </vt:lpstr>
      <vt:lpstr>MCF8315C_RGF_FOC </vt:lpstr>
      <vt:lpstr>MCF8315C_PWP_FOC </vt:lpstr>
      <vt:lpstr>MCT8316Z_Trap</vt:lpstr>
      <vt:lpstr>DRV8376_Trap</vt:lpstr>
      <vt:lpstr>DRV8376_FOC</vt:lpstr>
      <vt:lpstr>DRV8316_Trap</vt:lpstr>
      <vt:lpstr>DRV8316_FOC</vt:lpstr>
      <vt:lpstr>MCT8316A_Trap</vt:lpstr>
      <vt:lpstr>MCF8316A_FOC</vt:lpstr>
      <vt:lpstr>DRV8311_Trap</vt:lpstr>
      <vt:lpstr>DRV8311_FOC</vt:lpstr>
      <vt:lpstr>DRV8317_Trap</vt:lpstr>
      <vt:lpstr>DRV8317_FOC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2025-07-08T06:41:10Z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0x010100A890CF5D1712414994CF73E5254FE8C3</vt:lpwstr>
  </property>
</Properties>
</file>