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0186702\Documents\PS\Projects\TPSI3050\Calculators\Releases\SLVRBI9E\"/>
    </mc:Choice>
  </mc:AlternateContent>
  <xr:revisionPtr revIDLastSave="0" documentId="13_ncr:1_{41575143-C3E3-4FDB-BF30-F41F8769754E}" xr6:coauthVersionLast="36" xr6:coauthVersionMax="36" xr10:uidLastSave="{00000000-0000-0000-0000-000000000000}"/>
  <workbookProtection workbookPassword="A3CD" lockStructure="1"/>
  <bookViews>
    <workbookView xWindow="480" yWindow="120" windowWidth="19425" windowHeight="8625" xr2:uid="{00000000-000D-0000-FFFF-FFFF00000000}"/>
  </bookViews>
  <sheets>
    <sheet name="README" sheetId="5" r:id="rId1"/>
    <sheet name="USER INPUT" sheetId="4" r:id="rId2"/>
    <sheet name="POWER TRANSFER" sheetId="1" r:id="rId3"/>
    <sheet name="Revision History" sheetId="6" r:id="rId4"/>
  </sheets>
  <definedNames>
    <definedName name="CDIV1">'POWER TRANSFER'!$B$5</definedName>
    <definedName name="CDIV1_CALC">'USER INPUT'!$B$72</definedName>
    <definedName name="CDIV2">'POWER TRANSFER'!$B$6</definedName>
    <definedName name="CDIV2_CALC">'USER INPUT'!$B$73</definedName>
    <definedName name="CIN">'USER INPUT'!$B$10</definedName>
    <definedName name="CLOAD">'USER INPUT'!$B$63</definedName>
    <definedName name="CTOTAL">'POWER TRANSFER'!$B$8</definedName>
    <definedName name="DUTY_COEFF">'POWER TRANSFER'!$B$27</definedName>
    <definedName name="DUTY_FACTOR">'POWER TRANSFER'!#REF!</definedName>
    <definedName name="DUTY_SQ">'POWER TRANSFER'!#REF!</definedName>
    <definedName name="DUTY_SQ_COEFF">'POWER TRANSFER'!$B$30</definedName>
    <definedName name="EFFICIENCY">'POWER TRANSFER'!$B$19</definedName>
    <definedName name="EFFICIENCY_HI">'POWER TRANSFER'!$B$21</definedName>
    <definedName name="EFFICIENCY_LO">'POWER TRANSFER'!$B$19</definedName>
    <definedName name="EFFICIENCY_MID">'POWER TRANSFER'!$B$20</definedName>
    <definedName name="fEN">'USER INPUT'!$B$14</definedName>
    <definedName name="IAUX">'USER INPUT'!$B$13</definedName>
    <definedName name="INTERCEPT">'POWER TRANSFER'!$B$24</definedName>
    <definedName name="Iq_prim">'POWER TRANSFER'!$B$36</definedName>
    <definedName name="Iq_sec">'POWER TRANSFER'!$B$37</definedName>
    <definedName name="Istart__two_wire">'POWER TRANSFER'!$B$40</definedName>
    <definedName name="ITRIG_MAX">'USER INPUT'!$B$44</definedName>
    <definedName name="ITRIG_MIN">'USER INPUT'!$B$45</definedName>
    <definedName name="IVDDP__two_wire">'POWER TRANSFER'!$B$39</definedName>
    <definedName name="IVDDP_regresson_100percent">'POWER TRANSFER'!$B$38</definedName>
    <definedName name="PREQ_AC">'USER INPUT'!$B$23</definedName>
    <definedName name="PREQ_DC">'USER INPUT'!$B$24</definedName>
    <definedName name="PREQ_TOTAL">'USER INPUT'!$B$25</definedName>
    <definedName name="PSELECTED">'USER INPUT'!$B$26</definedName>
    <definedName name="QTOTAL">'USER INPUT'!$B$22</definedName>
    <definedName name="RLIMIT">'USER INPUT'!$B$37</definedName>
    <definedName name="TEMP">'POWER TRANSFER'!$B$9</definedName>
    <definedName name="TEMP_COEFF">'POWER TRANSFER'!$B$25</definedName>
    <definedName name="TEMP_SQ">'POWER TRANSFER'!$B$23</definedName>
    <definedName name="TEMP_SQ_COEFF">'POWER TRANSFER'!$B$28</definedName>
    <definedName name="tGT">'USER INPUT'!$B$39</definedName>
    <definedName name="TOFF">'USER INPUT'!$B$21</definedName>
    <definedName name="tTRIG_ON">'USER INPUT'!#REF!</definedName>
    <definedName name="VDDH">'POWER TRANSFER'!$B$13</definedName>
    <definedName name="VDDHdroop_A">'USER INPUT'!$B$65</definedName>
    <definedName name="VDDHdroop_B">'USER INPUT'!$B$70</definedName>
    <definedName name="VDDM">'POWER TRANSFER'!$B$12</definedName>
    <definedName name="VDDP">'POWER TRANSFER'!$B$10</definedName>
    <definedName name="VDDP_AVG">'POWER TRANSFER'!$B$11</definedName>
    <definedName name="VDDP_COEFF">'POWER TRANSFER'!$B$26</definedName>
    <definedName name="VDDP_SQ">'POWER TRANSFER'!$B$22</definedName>
    <definedName name="VDDP_SQ_COEFF">'POWER TRANSFER'!$B$29</definedName>
    <definedName name="VTP">'USER INPUT'!$B$36</definedName>
  </definedNames>
  <calcPr calcId="191029"/>
</workbook>
</file>

<file path=xl/calcChain.xml><?xml version="1.0" encoding="utf-8"?>
<calcChain xmlns="http://schemas.openxmlformats.org/spreadsheetml/2006/main">
  <c r="B12" i="1" l="1"/>
  <c r="B13" i="1"/>
  <c r="B14" i="1" s="1"/>
  <c r="D60" i="4"/>
  <c r="D62" i="4"/>
  <c r="D9" i="4"/>
  <c r="D39" i="4" l="1"/>
  <c r="B43" i="4"/>
  <c r="C8" i="4"/>
  <c r="B62" i="4" l="1"/>
  <c r="D42" i="4" l="1"/>
  <c r="D40" i="4"/>
  <c r="B34" i="1" l="1"/>
  <c r="D45" i="1" l="1"/>
  <c r="E45" i="1" s="1"/>
  <c r="D46" i="1"/>
  <c r="E46" i="1" s="1"/>
  <c r="D47" i="1"/>
  <c r="E47" i="1" s="1"/>
  <c r="D48" i="1"/>
  <c r="E48" i="1" s="1"/>
  <c r="D49" i="1"/>
  <c r="E49" i="1" s="1"/>
  <c r="D50" i="1"/>
  <c r="E50" i="1" s="1"/>
  <c r="D44" i="1"/>
  <c r="E44" i="1" s="1"/>
  <c r="U45" i="1" l="1"/>
  <c r="U46" i="1"/>
  <c r="U47" i="1"/>
  <c r="U48" i="1"/>
  <c r="U49" i="1"/>
  <c r="U50" i="1"/>
  <c r="U44" i="1"/>
  <c r="B2" i="1" l="1"/>
  <c r="B10" i="1" s="1"/>
  <c r="B22" i="1" s="1"/>
  <c r="B24" i="4" l="1"/>
  <c r="B44" i="4" l="1"/>
  <c r="B45" i="4"/>
  <c r="D45" i="4" s="1"/>
  <c r="D30" i="4" l="1"/>
  <c r="B9" i="1"/>
  <c r="B39" i="1" l="1"/>
  <c r="B38" i="1"/>
  <c r="B23" i="1"/>
  <c r="B20" i="1" s="1"/>
  <c r="B19" i="1" l="1"/>
  <c r="W45" i="1"/>
  <c r="V50" i="1"/>
  <c r="W49" i="1"/>
  <c r="W44" i="1"/>
  <c r="V45" i="1"/>
  <c r="V48" i="1"/>
  <c r="V49" i="1"/>
  <c r="W46" i="1"/>
  <c r="V44" i="1"/>
  <c r="W48" i="1"/>
  <c r="V46" i="1"/>
  <c r="W47" i="1"/>
  <c r="W50" i="1"/>
  <c r="V47" i="1"/>
  <c r="C56" i="1"/>
  <c r="D56" i="1" s="1"/>
  <c r="E56" i="1" s="1"/>
  <c r="C60" i="1"/>
  <c r="D60" i="1" s="1"/>
  <c r="E60" i="1" s="1"/>
  <c r="C59" i="1"/>
  <c r="D59" i="1" s="1"/>
  <c r="E59" i="1" s="1"/>
  <c r="F59" i="1" s="1"/>
  <c r="C55" i="1"/>
  <c r="D55" i="1" s="1"/>
  <c r="E55" i="1" s="1"/>
  <c r="C61" i="1"/>
  <c r="D61" i="1" s="1"/>
  <c r="E61" i="1" s="1"/>
  <c r="C58" i="1"/>
  <c r="D58" i="1" s="1"/>
  <c r="E58" i="1" s="1"/>
  <c r="F58" i="1" s="1"/>
  <c r="C57" i="1"/>
  <c r="D57" i="1" s="1"/>
  <c r="E57" i="1" s="1"/>
  <c r="F57" i="1" s="1"/>
  <c r="F45" i="1"/>
  <c r="G45" i="1" s="1"/>
  <c r="F44" i="1"/>
  <c r="G44" i="1" s="1"/>
  <c r="F46" i="1"/>
  <c r="G46" i="1" s="1"/>
  <c r="F48" i="1"/>
  <c r="G48" i="1" s="1"/>
  <c r="F47" i="1"/>
  <c r="G47" i="1" s="1"/>
  <c r="B21" i="1"/>
  <c r="D70" i="4"/>
  <c r="F55" i="1" l="1"/>
  <c r="F56" i="1"/>
  <c r="H46" i="1"/>
  <c r="H45" i="1"/>
  <c r="H44" i="1"/>
  <c r="H47" i="1"/>
  <c r="H48" i="1"/>
  <c r="F50" i="1"/>
  <c r="G50" i="1" s="1"/>
  <c r="F49" i="1"/>
  <c r="G49" i="1" s="1"/>
  <c r="F60" i="1"/>
  <c r="F61" i="1"/>
  <c r="D71" i="4"/>
  <c r="H50" i="1" l="1"/>
  <c r="H49" i="1"/>
  <c r="B4" i="1"/>
  <c r="B3" i="1"/>
  <c r="W55" i="1" l="1"/>
  <c r="U55" i="1" s="1"/>
  <c r="W56" i="1"/>
  <c r="U56" i="1" s="1"/>
  <c r="W57" i="1"/>
  <c r="U57" i="1" s="1"/>
  <c r="W58" i="1"/>
  <c r="U58" i="1" s="1"/>
  <c r="W59" i="1"/>
  <c r="U59" i="1" s="1"/>
  <c r="W60" i="1"/>
  <c r="U60" i="1" s="1"/>
  <c r="W61" i="1"/>
  <c r="U61" i="1" s="1"/>
  <c r="Y58" i="1" l="1"/>
  <c r="V57" i="1"/>
  <c r="Y56" i="1"/>
  <c r="X60" i="1"/>
  <c r="Y60" i="1"/>
  <c r="X61" i="1"/>
  <c r="Y61" i="1"/>
  <c r="X59" i="1"/>
  <c r="Y59" i="1"/>
  <c r="X55" i="1"/>
  <c r="Y55" i="1"/>
  <c r="V58" i="1"/>
  <c r="X58" i="1"/>
  <c r="X57" i="1"/>
  <c r="X56" i="1"/>
  <c r="V60" i="1"/>
  <c r="V56" i="1" l="1"/>
  <c r="Y57" i="1"/>
  <c r="V55" i="1"/>
  <c r="B21" i="4" s="1"/>
  <c r="V59" i="1"/>
  <c r="V61" i="1"/>
  <c r="G58" i="1" l="1"/>
  <c r="G57" i="1"/>
  <c r="G61" i="1"/>
  <c r="G60" i="1"/>
  <c r="G55" i="1"/>
  <c r="G59" i="1"/>
  <c r="H59" i="1" l="1"/>
  <c r="H58" i="1"/>
  <c r="H60" i="1"/>
  <c r="H61" i="1"/>
  <c r="H57" i="1"/>
  <c r="H55" i="1"/>
  <c r="B26" i="4"/>
  <c r="G56" i="1"/>
  <c r="H56" i="1" l="1"/>
  <c r="X48" i="1" l="1"/>
  <c r="Y48" i="1" s="1"/>
  <c r="Z48" i="1"/>
  <c r="X44" i="1"/>
  <c r="Y44" i="1" s="1"/>
  <c r="Z44" i="1"/>
  <c r="X47" i="1"/>
  <c r="Y47" i="1" s="1"/>
  <c r="Z47" i="1"/>
  <c r="X49" i="1"/>
  <c r="Y49" i="1" s="1"/>
  <c r="Z49" i="1"/>
  <c r="X50" i="1"/>
  <c r="Y50" i="1" s="1"/>
  <c r="Z50" i="1"/>
  <c r="X45" i="1"/>
  <c r="Y45" i="1" s="1"/>
  <c r="Z45" i="1"/>
  <c r="X46" i="1"/>
  <c r="Y46" i="1" s="1"/>
  <c r="Z46" i="1"/>
  <c r="B46" i="4" l="1"/>
  <c r="B47" i="4" s="1"/>
  <c r="B48" i="4" l="1"/>
  <c r="B22" i="4"/>
  <c r="B7" i="1" s="1"/>
  <c r="B49" i="4" l="1"/>
  <c r="B52" i="4" s="1"/>
  <c r="B74" i="4"/>
  <c r="B23" i="4"/>
  <c r="B25" i="4" s="1"/>
  <c r="B63" i="4"/>
  <c r="B75" i="4"/>
  <c r="B73" i="4" l="1"/>
  <c r="B72" i="4" s="1"/>
  <c r="B5" i="1" s="1"/>
  <c r="B51" i="4"/>
  <c r="B50" i="4"/>
  <c r="R47" i="1"/>
  <c r="R55" i="1"/>
  <c r="B27" i="4"/>
  <c r="R59" i="1"/>
  <c r="R57" i="1"/>
  <c r="R44" i="1"/>
  <c r="B28" i="4"/>
  <c r="R46" i="1"/>
  <c r="R50" i="1"/>
  <c r="R61" i="1"/>
  <c r="R48" i="1"/>
  <c r="R49" i="1"/>
  <c r="R60" i="1"/>
  <c r="R45" i="1"/>
  <c r="R56" i="1"/>
  <c r="R58" i="1"/>
  <c r="B6" i="1" l="1"/>
  <c r="B67" i="4" s="1"/>
  <c r="D67" i="4" s="1"/>
  <c r="AB48" i="1"/>
  <c r="O48" i="1"/>
  <c r="J48" i="1" s="1"/>
  <c r="Q48" i="1"/>
  <c r="P48" i="1"/>
  <c r="L48" i="1" s="1"/>
  <c r="AB56" i="1"/>
  <c r="P56" i="1"/>
  <c r="L56" i="1" s="1"/>
  <c r="O56" i="1"/>
  <c r="J56" i="1" s="1"/>
  <c r="Q56" i="1"/>
  <c r="AB61" i="1"/>
  <c r="P61" i="1"/>
  <c r="L61" i="1" s="1"/>
  <c r="O61" i="1"/>
  <c r="J61" i="1" s="1"/>
  <c r="Q61" i="1"/>
  <c r="AB44" i="1"/>
  <c r="O44" i="1"/>
  <c r="J44" i="1" s="1"/>
  <c r="Q44" i="1"/>
  <c r="P44" i="1"/>
  <c r="L44" i="1" s="1"/>
  <c r="O57" i="1"/>
  <c r="J57" i="1" s="1"/>
  <c r="P57" i="1"/>
  <c r="L57" i="1" s="1"/>
  <c r="AB57" i="1"/>
  <c r="Q57" i="1"/>
  <c r="Q59" i="1"/>
  <c r="AB59" i="1"/>
  <c r="P59" i="1"/>
  <c r="L59" i="1" s="1"/>
  <c r="O59" i="1"/>
  <c r="J59" i="1" s="1"/>
  <c r="AB45" i="1"/>
  <c r="P45" i="1"/>
  <c r="L45" i="1" s="1"/>
  <c r="O45" i="1"/>
  <c r="J45" i="1" s="1"/>
  <c r="Q45" i="1"/>
  <c r="P55" i="1"/>
  <c r="L55" i="1" s="1"/>
  <c r="Q55" i="1"/>
  <c r="O55" i="1"/>
  <c r="J55" i="1" s="1"/>
  <c r="AB55" i="1"/>
  <c r="P49" i="1"/>
  <c r="L49" i="1" s="1"/>
  <c r="AB49" i="1"/>
  <c r="O49" i="1"/>
  <c r="J49" i="1" s="1"/>
  <c r="Q49" i="1"/>
  <c r="P50" i="1"/>
  <c r="L50" i="1" s="1"/>
  <c r="Q50" i="1"/>
  <c r="AB50" i="1"/>
  <c r="O50" i="1"/>
  <c r="J50" i="1" s="1"/>
  <c r="P46" i="1"/>
  <c r="L46" i="1" s="1"/>
  <c r="AB46" i="1"/>
  <c r="O46" i="1"/>
  <c r="J46" i="1" s="1"/>
  <c r="Q46" i="1"/>
  <c r="AB58" i="1"/>
  <c r="O58" i="1"/>
  <c r="J58" i="1" s="1"/>
  <c r="Q58" i="1"/>
  <c r="P58" i="1"/>
  <c r="L58" i="1" s="1"/>
  <c r="D12" i="4"/>
  <c r="Q60" i="1"/>
  <c r="P60" i="1"/>
  <c r="L60" i="1" s="1"/>
  <c r="O60" i="1"/>
  <c r="J60" i="1" s="1"/>
  <c r="AB60" i="1"/>
  <c r="P47" i="1"/>
  <c r="L47" i="1" s="1"/>
  <c r="AB47" i="1"/>
  <c r="O47" i="1"/>
  <c r="J47" i="1" s="1"/>
  <c r="Q47" i="1"/>
  <c r="AD47" i="1" l="1"/>
  <c r="AC47" i="1" s="1"/>
  <c r="AD48" i="1"/>
  <c r="AC48" i="1" s="1"/>
  <c r="B76" i="4"/>
  <c r="AD57" i="1"/>
  <c r="AC57" i="1" s="1"/>
  <c r="AD50" i="1"/>
  <c r="AC50" i="1" s="1"/>
  <c r="AD44" i="1"/>
  <c r="AE44" i="1" s="1"/>
  <c r="I44" i="1" s="1"/>
  <c r="K44" i="1" s="1"/>
  <c r="B8" i="1"/>
  <c r="B65" i="4" s="1"/>
  <c r="AD55" i="1"/>
  <c r="AC55" i="1" s="1"/>
  <c r="AD49" i="1"/>
  <c r="AC49" i="1" s="1"/>
  <c r="B77" i="4"/>
  <c r="D77" i="4" s="1"/>
  <c r="AD56" i="1"/>
  <c r="AC56" i="1" s="1"/>
  <c r="AD59" i="1"/>
  <c r="AC59" i="1" s="1"/>
  <c r="AD58" i="1"/>
  <c r="AC58" i="1" s="1"/>
  <c r="AD61" i="1"/>
  <c r="AC61" i="1" s="1"/>
  <c r="B19" i="4"/>
  <c r="D13" i="4" s="1"/>
  <c r="K56" i="1"/>
  <c r="K57" i="1"/>
  <c r="K58" i="1"/>
  <c r="K59" i="1"/>
  <c r="AD45" i="1"/>
  <c r="AE45" i="1" s="1"/>
  <c r="I45" i="1" s="1"/>
  <c r="K45" i="1" s="1"/>
  <c r="AD60" i="1"/>
  <c r="AC60" i="1" s="1"/>
  <c r="K61" i="1"/>
  <c r="AD46" i="1"/>
  <c r="AE46" i="1" s="1"/>
  <c r="I46" i="1" s="1"/>
  <c r="K46" i="1" s="1"/>
  <c r="K60" i="1"/>
  <c r="K55" i="1"/>
  <c r="B64" i="4" l="1"/>
  <c r="AE49" i="1"/>
  <c r="I49" i="1" s="1"/>
  <c r="K49" i="1" s="1"/>
  <c r="AE50" i="1"/>
  <c r="I50" i="1" s="1"/>
  <c r="K50" i="1" s="1"/>
  <c r="AE48" i="1"/>
  <c r="I48" i="1" s="1"/>
  <c r="K48" i="1" s="1"/>
  <c r="AE47" i="1"/>
  <c r="I47" i="1" s="1"/>
  <c r="K47" i="1" s="1"/>
  <c r="AC44" i="1"/>
  <c r="B20" i="4"/>
  <c r="D14" i="4" s="1"/>
  <c r="B29" i="4" s="1"/>
  <c r="B66" i="4"/>
  <c r="D65" i="4"/>
  <c r="AC45" i="1"/>
  <c r="AE58" i="1"/>
  <c r="AF58" i="1" s="1"/>
  <c r="I58" i="1" s="1"/>
  <c r="AE55" i="1"/>
  <c r="AF55" i="1" s="1"/>
  <c r="I55" i="1" s="1"/>
  <c r="AE61" i="1"/>
  <c r="AF61" i="1" s="1"/>
  <c r="I61" i="1" s="1"/>
  <c r="AE57" i="1"/>
  <c r="AF57" i="1" s="1"/>
  <c r="I57" i="1" s="1"/>
  <c r="AE56" i="1"/>
  <c r="AF56" i="1" s="1"/>
  <c r="I56" i="1" s="1"/>
  <c r="AE60" i="1"/>
  <c r="AF60" i="1" s="1"/>
  <c r="I60" i="1" s="1"/>
  <c r="AE59" i="1"/>
  <c r="AF59" i="1" s="1"/>
  <c r="I59" i="1" s="1"/>
  <c r="AC46" i="1"/>
  <c r="AG57" i="1" l="1"/>
  <c r="AG55" i="1"/>
  <c r="AG58" i="1"/>
  <c r="AG61" i="1"/>
  <c r="AG60" i="1"/>
  <c r="AG56" i="1"/>
  <c r="AG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Craig</author>
    <author>TI</author>
  </authors>
  <commentList>
    <comment ref="A19" authorId="0" shapeId="0" xr:uid="{0A4838CC-09A7-41B4-A54A-0ED579100C6D}">
      <text>
        <r>
          <rPr>
            <b/>
            <sz val="9"/>
            <color indexed="81"/>
            <rFont val="Tahoma"/>
            <family val="2"/>
          </rPr>
          <t>Greenberg, Craig:</t>
        </r>
        <r>
          <rPr>
            <sz val="9"/>
            <color indexed="81"/>
            <rFont val="Tahoma"/>
            <family val="2"/>
          </rPr>
          <t xml:space="preserve">
Used for RPXFR = 7.32k, 9.09k</t>
        </r>
      </text>
    </comment>
    <comment ref="A20" authorId="0" shapeId="0" xr:uid="{DA61C48B-4116-4628-8EF1-1DD08F49D99D}">
      <text>
        <r>
          <rPr>
            <b/>
            <sz val="9"/>
            <color indexed="81"/>
            <rFont val="Tahoma"/>
            <family val="2"/>
          </rPr>
          <t>Greenberg, Craig:</t>
        </r>
        <r>
          <rPr>
            <sz val="9"/>
            <color indexed="81"/>
            <rFont val="Tahoma"/>
            <family val="2"/>
          </rPr>
          <t xml:space="preserve">
Used for RPXFR = 11k, 12.7k, 14.7k
</t>
        </r>
      </text>
    </comment>
    <comment ref="A21" authorId="0" shapeId="0" xr:uid="{14E4A08D-5EC3-4E68-8327-DA3FD9A7A9AC}">
      <text>
        <r>
          <rPr>
            <b/>
            <sz val="9"/>
            <color indexed="81"/>
            <rFont val="Tahoma"/>
            <family val="2"/>
          </rPr>
          <t>Greenberg, Craig:</t>
        </r>
        <r>
          <rPr>
            <sz val="9"/>
            <color indexed="81"/>
            <rFont val="Tahoma"/>
            <family val="2"/>
          </rPr>
          <t xml:space="preserve">
Used for RPXFR = 16.5k, 20k</t>
        </r>
      </text>
    </comment>
    <comment ref="O43" authorId="0" shapeId="0" xr:uid="{F3DC281C-1FB7-45A3-9D6E-3B2516FF327E}">
      <text>
        <r>
          <rPr>
            <b/>
            <sz val="9"/>
            <color indexed="81"/>
            <rFont val="Tahoma"/>
            <family val="2"/>
          </rPr>
          <t>Greenberg, Craig:</t>
        </r>
        <r>
          <rPr>
            <sz val="9"/>
            <color indexed="81"/>
            <rFont val="Tahoma"/>
            <family val="2"/>
          </rPr>
          <t xml:space="preserve">
This is maximum switching frequency possible assuming current user input setting for I</t>
        </r>
        <r>
          <rPr>
            <vertAlign val="subscript"/>
            <sz val="9"/>
            <color indexed="81"/>
            <rFont val="Tahoma"/>
            <family val="2"/>
          </rPr>
          <t>AUX</t>
        </r>
        <r>
          <rPr>
            <sz val="9"/>
            <color indexed="81"/>
            <rFont val="Tahoma"/>
            <family val="2"/>
          </rPr>
          <t>. Increasing/decreasing I</t>
        </r>
        <r>
          <rPr>
            <vertAlign val="subscript"/>
            <sz val="9"/>
            <color indexed="81"/>
            <rFont val="Tahoma"/>
            <family val="2"/>
          </rPr>
          <t>AUX</t>
        </r>
        <r>
          <rPr>
            <sz val="9"/>
            <color indexed="81"/>
            <rFont val="Tahoma"/>
            <family val="2"/>
          </rPr>
          <t xml:space="preserve"> will decrease/increase f</t>
        </r>
        <r>
          <rPr>
            <vertAlign val="subscript"/>
            <sz val="9"/>
            <color indexed="81"/>
            <rFont val="Tahoma"/>
            <family val="2"/>
          </rPr>
          <t>EN_MAX</t>
        </r>
        <r>
          <rPr>
            <sz val="9"/>
            <color indexed="81"/>
            <rFont val="Tahoma"/>
            <family val="2"/>
          </rPr>
          <t>, respectively. This does not include t</t>
        </r>
        <r>
          <rPr>
            <vertAlign val="subscript"/>
            <sz val="9"/>
            <color indexed="81"/>
            <rFont val="Tahoma"/>
            <family val="2"/>
          </rPr>
          <t>START</t>
        </r>
        <r>
          <rPr>
            <sz val="9"/>
            <color indexed="81"/>
            <rFont val="Tahoma"/>
            <family val="2"/>
          </rPr>
          <t xml:space="preserve"> which will also add to reduce maximum frequency possible.
</t>
        </r>
      </text>
    </comment>
    <comment ref="Q43" authorId="0" shapeId="0" xr:uid="{6E4DD4AD-0BE4-4B77-B493-ED490D5A2572}">
      <text>
        <r>
          <rPr>
            <b/>
            <sz val="9"/>
            <color indexed="81"/>
            <rFont val="Tahoma"/>
            <family val="2"/>
          </rPr>
          <t>Greenberg, Craig:</t>
        </r>
        <r>
          <rPr>
            <sz val="9"/>
            <color indexed="81"/>
            <rFont val="Tahoma"/>
            <family val="2"/>
          </rPr>
          <t xml:space="preserve">
Net current available to charge the VDDH and VDDM rails. This is equivalent to P</t>
        </r>
        <r>
          <rPr>
            <vertAlign val="subscript"/>
            <sz val="9"/>
            <color indexed="81"/>
            <rFont val="Tahoma"/>
            <family val="2"/>
          </rPr>
          <t>OUT</t>
        </r>
        <r>
          <rPr>
            <sz val="9"/>
            <color indexed="81"/>
            <rFont val="Tahoma"/>
            <family val="2"/>
          </rPr>
          <t xml:space="preserve"> - P</t>
        </r>
        <r>
          <rPr>
            <vertAlign val="subscript"/>
            <sz val="9"/>
            <color indexed="81"/>
            <rFont val="Tahoma"/>
            <family val="2"/>
          </rPr>
          <t>AUX</t>
        </r>
        <r>
          <rPr>
            <sz val="9"/>
            <color indexed="81"/>
            <rFont val="Tahoma"/>
            <family val="2"/>
          </rPr>
          <t>.  For example, if I</t>
        </r>
        <r>
          <rPr>
            <vertAlign val="subscript"/>
            <sz val="9"/>
            <color indexed="81"/>
            <rFont val="Tahoma"/>
            <family val="2"/>
          </rPr>
          <t>AUX</t>
        </r>
        <r>
          <rPr>
            <sz val="9"/>
            <color indexed="81"/>
            <rFont val="Tahoma"/>
            <family val="2"/>
          </rPr>
          <t xml:space="preserve"> = 0, all P</t>
        </r>
        <r>
          <rPr>
            <vertAlign val="subscript"/>
            <sz val="9"/>
            <color indexed="81"/>
            <rFont val="Tahoma"/>
            <family val="2"/>
          </rPr>
          <t>OUT</t>
        </r>
        <r>
          <rPr>
            <sz val="9"/>
            <color indexed="81"/>
            <rFont val="Tahoma"/>
            <family val="2"/>
          </rPr>
          <t xml:space="preserve"> power is available to charge the VDDH/VDDM rails. </t>
        </r>
      </text>
    </comment>
    <comment ref="AE43" authorId="0" shapeId="0" xr:uid="{2F481005-EFCE-4533-AFFA-1D5491F6BBD7}">
      <text>
        <r>
          <rPr>
            <b/>
            <sz val="9"/>
            <color indexed="81"/>
            <rFont val="Tahoma"/>
            <family val="2"/>
          </rPr>
          <t>Greenberg, Craig:</t>
        </r>
        <r>
          <rPr>
            <sz val="9"/>
            <color indexed="81"/>
            <rFont val="Tahoma"/>
            <family val="2"/>
          </rPr>
          <t xml:space="preserve">
Represents the time to charge the CDIV1 and CDIV2 rails completely. Does not include fixed startup times due to primary logic powering up, etc. Does account for four burst startup at 80% duty cycle for speed up.
</t>
        </r>
      </text>
    </comment>
    <comment ref="O54" authorId="0" shapeId="0" xr:uid="{DCCAC55A-9BA7-42E9-A2A0-6970E5C84E5D}">
      <text>
        <r>
          <rPr>
            <b/>
            <sz val="9"/>
            <color indexed="81"/>
            <rFont val="Tahoma"/>
            <family val="2"/>
          </rPr>
          <t>Greenberg, Craig:</t>
        </r>
        <r>
          <rPr>
            <sz val="9"/>
            <color indexed="81"/>
            <rFont val="Tahoma"/>
            <family val="2"/>
          </rPr>
          <t xml:space="preserve">
This is maximum switching frequency possible assuming current user input setting for I</t>
        </r>
        <r>
          <rPr>
            <vertAlign val="subscript"/>
            <sz val="9"/>
            <color indexed="81"/>
            <rFont val="Tahoma"/>
            <family val="2"/>
          </rPr>
          <t>AUX</t>
        </r>
        <r>
          <rPr>
            <sz val="9"/>
            <color indexed="81"/>
            <rFont val="Tahoma"/>
            <family val="2"/>
          </rPr>
          <t>. Increasing/decreasing I</t>
        </r>
        <r>
          <rPr>
            <vertAlign val="subscript"/>
            <sz val="9"/>
            <color indexed="81"/>
            <rFont val="Tahoma"/>
            <family val="2"/>
          </rPr>
          <t>AUX</t>
        </r>
        <r>
          <rPr>
            <sz val="9"/>
            <color indexed="81"/>
            <rFont val="Tahoma"/>
            <family val="2"/>
          </rPr>
          <t xml:space="preserve"> will decrease/increase f</t>
        </r>
        <r>
          <rPr>
            <vertAlign val="subscript"/>
            <sz val="9"/>
            <color indexed="81"/>
            <rFont val="Tahoma"/>
            <family val="2"/>
          </rPr>
          <t>EN_MAX</t>
        </r>
        <r>
          <rPr>
            <sz val="9"/>
            <color indexed="81"/>
            <rFont val="Tahoma"/>
            <family val="2"/>
          </rPr>
          <t>, respectively. This is not restricted to 100kHz and represents the absolute maximum frequency possible based on power needs alone.</t>
        </r>
      </text>
    </comment>
    <comment ref="Q54" authorId="0" shapeId="0" xr:uid="{BD08726F-247C-47EE-98ED-485EA49573B2}">
      <text>
        <r>
          <rPr>
            <b/>
            <sz val="9"/>
            <color indexed="81"/>
            <rFont val="Tahoma"/>
            <family val="2"/>
          </rPr>
          <t>Greenberg, Craig:</t>
        </r>
        <r>
          <rPr>
            <sz val="9"/>
            <color indexed="81"/>
            <rFont val="Tahoma"/>
            <family val="2"/>
          </rPr>
          <t xml:space="preserve">
Net current available to charge the VDDH and VDDM rails. This is equivalent to P</t>
        </r>
        <r>
          <rPr>
            <vertAlign val="subscript"/>
            <sz val="9"/>
            <color indexed="81"/>
            <rFont val="Tahoma"/>
            <family val="2"/>
          </rPr>
          <t>OUT</t>
        </r>
        <r>
          <rPr>
            <sz val="9"/>
            <color indexed="81"/>
            <rFont val="Tahoma"/>
            <family val="2"/>
          </rPr>
          <t xml:space="preserve"> - P</t>
        </r>
        <r>
          <rPr>
            <vertAlign val="subscript"/>
            <sz val="9"/>
            <color indexed="81"/>
            <rFont val="Tahoma"/>
            <family val="2"/>
          </rPr>
          <t>AUX</t>
        </r>
        <r>
          <rPr>
            <sz val="9"/>
            <color indexed="81"/>
            <rFont val="Tahoma"/>
            <family val="2"/>
          </rPr>
          <t>.  For example, if I</t>
        </r>
        <r>
          <rPr>
            <vertAlign val="subscript"/>
            <sz val="9"/>
            <color indexed="81"/>
            <rFont val="Tahoma"/>
            <family val="2"/>
          </rPr>
          <t>AUX</t>
        </r>
        <r>
          <rPr>
            <sz val="9"/>
            <color indexed="81"/>
            <rFont val="Tahoma"/>
            <family val="2"/>
          </rPr>
          <t xml:space="preserve"> = 0, all P</t>
        </r>
        <r>
          <rPr>
            <vertAlign val="subscript"/>
            <sz val="9"/>
            <color indexed="81"/>
            <rFont val="Tahoma"/>
            <family val="2"/>
          </rPr>
          <t>OUT</t>
        </r>
        <r>
          <rPr>
            <sz val="9"/>
            <color indexed="81"/>
            <rFont val="Tahoma"/>
            <family val="2"/>
          </rPr>
          <t xml:space="preserve"> power is available to charge the VDDH/VDDM rails. </t>
        </r>
      </text>
    </comment>
    <comment ref="Y54" authorId="0" shapeId="0" xr:uid="{0BCB7989-512C-435A-B7E7-2FBF454CA17A}">
      <text>
        <r>
          <rPr>
            <b/>
            <sz val="9"/>
            <color indexed="81"/>
            <rFont val="Tahoma"/>
            <family val="2"/>
          </rPr>
          <t>Greenberg, Craig:</t>
        </r>
        <r>
          <rPr>
            <sz val="9"/>
            <color indexed="81"/>
            <rFont val="Tahoma"/>
            <family val="2"/>
          </rPr>
          <t xml:space="preserve">
Adjusts for when EN=0 which reduces power transfer.</t>
        </r>
      </text>
    </comment>
    <comment ref="AE54" authorId="0" shapeId="0" xr:uid="{AA2157ED-FE23-4CF0-BCB9-07C18B6FE9CB}">
      <text>
        <r>
          <rPr>
            <b/>
            <sz val="9"/>
            <color indexed="81"/>
            <rFont val="Tahoma"/>
            <family val="2"/>
          </rPr>
          <t>Greenberg, Craig:</t>
        </r>
        <r>
          <rPr>
            <sz val="9"/>
            <color indexed="81"/>
            <rFont val="Tahoma"/>
            <family val="2"/>
          </rPr>
          <t xml:space="preserve">
Voltage on VDDM at end of 4 burst periods of maximum power. This is done in hardware to improve charging of VDDM/VDDH rails.
</t>
        </r>
      </text>
    </comment>
    <comment ref="AF54" authorId="1" shapeId="0" xr:uid="{6B4D38D9-920F-40E1-946F-0623EE773F3B}">
      <text>
        <r>
          <rPr>
            <b/>
            <sz val="9"/>
            <color indexed="81"/>
            <rFont val="Tahoma"/>
            <family val="2"/>
          </rPr>
          <t>TI:</t>
        </r>
        <r>
          <rPr>
            <sz val="9"/>
            <color indexed="81"/>
            <rFont val="Tahoma"/>
            <family val="2"/>
          </rPr>
          <t xml:space="preserve">
Represents the time to charge the CDIV1 and CDIV2 rails to 95%. Does not include fixed startup times due to primary logic powering up, etc. Does account for four burst startup at 80% duty cycle for speed up.</t>
        </r>
      </text>
    </comment>
    <comment ref="AG54" authorId="1" shapeId="0" xr:uid="{B4C4A64A-8F00-494E-B9C3-BB2FFDDFDE69}">
      <text>
        <r>
          <rPr>
            <b/>
            <sz val="9"/>
            <color indexed="81"/>
            <rFont val="Tahoma"/>
            <family val="2"/>
          </rPr>
          <t>TI:</t>
        </r>
        <r>
          <rPr>
            <sz val="9"/>
            <color indexed="81"/>
            <rFont val="Tahoma"/>
            <family val="2"/>
          </rPr>
          <t xml:space="preserve">
Represents the time from VDDP (50%) applied until VDDH reaches 50% of its steady state level (TLH_VDDH).
</t>
        </r>
      </text>
    </comment>
  </commentList>
</comments>
</file>

<file path=xl/sharedStrings.xml><?xml version="1.0" encoding="utf-8"?>
<sst xmlns="http://schemas.openxmlformats.org/spreadsheetml/2006/main" count="336" uniqueCount="203">
  <si>
    <t>Iq_prim</t>
  </si>
  <si>
    <t>Iq_sec</t>
  </si>
  <si>
    <t>VDDP</t>
  </si>
  <si>
    <t>V</t>
  </si>
  <si>
    <r>
      <t>P</t>
    </r>
    <r>
      <rPr>
        <vertAlign val="subscript"/>
        <sz val="10"/>
        <color theme="1"/>
        <rFont val="Arial"/>
        <family val="2"/>
      </rPr>
      <t>OUT,</t>
    </r>
    <r>
      <rPr>
        <sz val="10"/>
        <color theme="1"/>
        <rFont val="Arial"/>
        <family val="2"/>
      </rPr>
      <t xml:space="preserve"> mW</t>
    </r>
  </si>
  <si>
    <r>
      <t>I</t>
    </r>
    <r>
      <rPr>
        <vertAlign val="subscript"/>
        <sz val="10"/>
        <color theme="1"/>
        <rFont val="Arial"/>
        <family val="2"/>
      </rPr>
      <t>EN</t>
    </r>
    <r>
      <rPr>
        <sz val="10"/>
        <color theme="1"/>
        <rFont val="Arial"/>
        <family val="2"/>
      </rPr>
      <t>, mA</t>
    </r>
  </si>
  <si>
    <r>
      <t>I</t>
    </r>
    <r>
      <rPr>
        <vertAlign val="subscript"/>
        <sz val="10"/>
        <color theme="1"/>
        <rFont val="Arial"/>
        <family val="2"/>
      </rPr>
      <t>OUT,</t>
    </r>
    <r>
      <rPr>
        <sz val="10"/>
        <color theme="1"/>
        <rFont val="Arial"/>
        <family val="2"/>
      </rPr>
      <t xml:space="preserve"> mA</t>
    </r>
  </si>
  <si>
    <t>Two-wire Mode:</t>
  </si>
  <si>
    <t>Three-wire Mode:</t>
  </si>
  <si>
    <r>
      <t>I</t>
    </r>
    <r>
      <rPr>
        <vertAlign val="subscript"/>
        <sz val="10"/>
        <color theme="1"/>
        <rFont val="Arial"/>
        <family val="2"/>
      </rPr>
      <t>VDDP</t>
    </r>
    <r>
      <rPr>
        <sz val="10"/>
        <color theme="1"/>
        <rFont val="Arial"/>
        <family val="2"/>
      </rPr>
      <t xml:space="preserve"> (two-wire)</t>
    </r>
  </si>
  <si>
    <t>A</t>
  </si>
  <si>
    <t>mA</t>
  </si>
  <si>
    <t>µs</t>
  </si>
  <si>
    <t>nC</t>
  </si>
  <si>
    <r>
      <t>VDDH</t>
    </r>
    <r>
      <rPr>
        <vertAlign val="subscript"/>
        <sz val="10"/>
        <color theme="1"/>
        <rFont val="Arial"/>
        <family val="2"/>
      </rPr>
      <t>droop</t>
    </r>
  </si>
  <si>
    <t>Use below for driving SCRs or TRIACS:</t>
  </si>
  <si>
    <t>Use below for driving MOSFETs, IGBTs:</t>
  </si>
  <si>
    <r>
      <t>I</t>
    </r>
    <r>
      <rPr>
        <vertAlign val="subscript"/>
        <sz val="10"/>
        <color theme="1"/>
        <rFont val="Arial"/>
        <family val="2"/>
      </rPr>
      <t>start</t>
    </r>
    <r>
      <rPr>
        <sz val="10"/>
        <color theme="1"/>
        <rFont val="Arial"/>
        <family val="2"/>
      </rPr>
      <t xml:space="preserve"> (two-wire)</t>
    </r>
  </si>
  <si>
    <t>Load type</t>
  </si>
  <si>
    <t>Delta V</t>
  </si>
  <si>
    <r>
      <t>P</t>
    </r>
    <r>
      <rPr>
        <vertAlign val="subscript"/>
        <sz val="10"/>
        <color theme="1"/>
        <rFont val="Arial"/>
        <family val="2"/>
      </rPr>
      <t>IN</t>
    </r>
    <r>
      <rPr>
        <sz val="10"/>
        <color theme="1"/>
        <rFont val="Arial"/>
        <family val="2"/>
      </rPr>
      <t>, mW</t>
    </r>
  </si>
  <si>
    <r>
      <t>T</t>
    </r>
    <r>
      <rPr>
        <vertAlign val="subscript"/>
        <sz val="10"/>
        <color theme="1"/>
        <rFont val="Arial"/>
        <family val="2"/>
      </rPr>
      <t>ON</t>
    </r>
    <r>
      <rPr>
        <sz val="10"/>
        <color theme="1"/>
        <rFont val="Arial"/>
        <family val="2"/>
      </rPr>
      <t>, s</t>
    </r>
  </si>
  <si>
    <r>
      <t>T</t>
    </r>
    <r>
      <rPr>
        <vertAlign val="subscript"/>
        <sz val="10"/>
        <color theme="1"/>
        <rFont val="Arial"/>
        <family val="2"/>
      </rPr>
      <t>OFF</t>
    </r>
    <r>
      <rPr>
        <sz val="10"/>
        <color theme="1"/>
        <rFont val="Arial"/>
        <family val="2"/>
      </rPr>
      <t>, s</t>
    </r>
  </si>
  <si>
    <r>
      <t>T</t>
    </r>
    <r>
      <rPr>
        <vertAlign val="subscript"/>
        <sz val="10"/>
        <color theme="1"/>
        <rFont val="Arial"/>
        <family val="2"/>
      </rPr>
      <t>PER</t>
    </r>
    <r>
      <rPr>
        <sz val="10"/>
        <color theme="1"/>
        <rFont val="Arial"/>
        <family val="2"/>
      </rPr>
      <t>, s</t>
    </r>
  </si>
  <si>
    <r>
      <t>I</t>
    </r>
    <r>
      <rPr>
        <vertAlign val="subscript"/>
        <sz val="10"/>
        <color theme="1"/>
        <rFont val="Arial"/>
        <family val="2"/>
      </rPr>
      <t>VDDP</t>
    </r>
    <r>
      <rPr>
        <sz val="10"/>
        <color theme="1"/>
        <rFont val="Arial"/>
        <family val="2"/>
      </rPr>
      <t>, mA</t>
    </r>
  </si>
  <si>
    <t>VDDP__UVLO</t>
  </si>
  <si>
    <t>tVDDP_START</t>
  </si>
  <si>
    <r>
      <t>C</t>
    </r>
    <r>
      <rPr>
        <vertAlign val="subscript"/>
        <sz val="10"/>
        <color theme="1"/>
        <rFont val="Arial"/>
        <family val="2"/>
      </rPr>
      <t>LOAD</t>
    </r>
  </si>
  <si>
    <t>Total gate charge of transistor(s).</t>
  </si>
  <si>
    <t>tSETTLE_REFSYS</t>
  </si>
  <si>
    <t>Computed, two-wire mode only</t>
  </si>
  <si>
    <r>
      <t>t</t>
    </r>
    <r>
      <rPr>
        <vertAlign val="subscript"/>
        <sz val="10"/>
        <color theme="1"/>
        <rFont val="Arial"/>
        <family val="2"/>
      </rPr>
      <t>RECOVER</t>
    </r>
    <r>
      <rPr>
        <sz val="10"/>
        <color theme="1"/>
        <rFont val="Arial"/>
        <family val="2"/>
      </rPr>
      <t xml:space="preserve">, </t>
    </r>
    <r>
      <rPr>
        <sz val="10"/>
        <color theme="1"/>
        <rFont val="Calibri"/>
        <family val="2"/>
      </rPr>
      <t>µ</t>
    </r>
    <r>
      <rPr>
        <sz val="10"/>
        <color theme="1"/>
        <rFont val="Arial"/>
        <family val="2"/>
      </rPr>
      <t>s</t>
    </r>
  </si>
  <si>
    <r>
      <t>I</t>
    </r>
    <r>
      <rPr>
        <vertAlign val="subscript"/>
        <sz val="10"/>
        <color theme="1"/>
        <rFont val="Arial"/>
        <family val="2"/>
      </rPr>
      <t>OUT</t>
    </r>
    <r>
      <rPr>
        <sz val="10"/>
        <color theme="1"/>
        <rFont val="Arial"/>
        <family val="2"/>
      </rPr>
      <t>_</t>
    </r>
    <r>
      <rPr>
        <vertAlign val="subscript"/>
        <sz val="10"/>
        <color theme="1"/>
        <rFont val="Arial"/>
        <family val="2"/>
      </rPr>
      <t>CHG</t>
    </r>
    <r>
      <rPr>
        <sz val="10"/>
        <color theme="1"/>
        <rFont val="Arial"/>
        <family val="2"/>
      </rPr>
      <t>, mA</t>
    </r>
  </si>
  <si>
    <r>
      <t>t</t>
    </r>
    <r>
      <rPr>
        <vertAlign val="subscript"/>
        <sz val="10"/>
        <color theme="1"/>
        <rFont val="Arial"/>
        <family val="2"/>
      </rPr>
      <t>START</t>
    </r>
    <r>
      <rPr>
        <sz val="10"/>
        <color theme="1"/>
        <rFont val="Arial"/>
        <family val="2"/>
      </rPr>
      <t>, µs</t>
    </r>
  </si>
  <si>
    <t>Computed total charge required.</t>
  </si>
  <si>
    <t>nF</t>
  </si>
  <si>
    <t>tSTATE_ADC</t>
  </si>
  <si>
    <t>Fsw, kHz</t>
  </si>
  <si>
    <r>
      <t xml:space="preserve">For two-wire mode: 220 nF recommended
For three-wire mode: 1 </t>
    </r>
    <r>
      <rPr>
        <sz val="10"/>
        <color theme="1"/>
        <rFont val="Calibri"/>
        <family val="2"/>
      </rPr>
      <t>µ</t>
    </r>
    <r>
      <rPr>
        <sz val="10"/>
        <color theme="1"/>
        <rFont val="Arial"/>
        <family val="2"/>
      </rPr>
      <t>F in parallel with 100 nF is recommended.</t>
    </r>
  </si>
  <si>
    <t>Max Qtotal</t>
  </si>
  <si>
    <t>Internal specification to not exceed driver SOA.</t>
  </si>
  <si>
    <r>
      <t>I</t>
    </r>
    <r>
      <rPr>
        <vertAlign val="subscript"/>
        <sz val="10"/>
        <color theme="1"/>
        <rFont val="Arial"/>
        <family val="2"/>
      </rPr>
      <t>AUX</t>
    </r>
  </si>
  <si>
    <t>tBURST</t>
  </si>
  <si>
    <t>us</t>
  </si>
  <si>
    <t>Set by design implementation.</t>
  </si>
  <si>
    <t>n</t>
  </si>
  <si>
    <r>
      <t>C</t>
    </r>
    <r>
      <rPr>
        <vertAlign val="subscript"/>
        <sz val="10"/>
        <color theme="1"/>
        <rFont val="Arial"/>
        <family val="2"/>
      </rPr>
      <t>DIV2</t>
    </r>
  </si>
  <si>
    <r>
      <t>C</t>
    </r>
    <r>
      <rPr>
        <vertAlign val="subscript"/>
        <sz val="10"/>
        <color theme="1"/>
        <rFont val="Arial"/>
        <family val="2"/>
      </rPr>
      <t>DIV1</t>
    </r>
  </si>
  <si>
    <t>Capacitance between VDDM and VSSS.</t>
  </si>
  <si>
    <r>
      <t>VDDM</t>
    </r>
    <r>
      <rPr>
        <vertAlign val="subscript"/>
        <sz val="10"/>
        <color theme="1"/>
        <rFont val="Arial"/>
        <family val="2"/>
      </rPr>
      <t>ripple</t>
    </r>
  </si>
  <si>
    <r>
      <t>Computed equivalent capacitance at VDDH. Series combination of C</t>
    </r>
    <r>
      <rPr>
        <vertAlign val="subscript"/>
        <sz val="10"/>
        <color theme="1"/>
        <rFont val="Arial"/>
        <family val="2"/>
      </rPr>
      <t>DIV1</t>
    </r>
    <r>
      <rPr>
        <sz val="10"/>
        <color theme="1"/>
        <rFont val="Arial"/>
        <family val="2"/>
      </rPr>
      <t xml:space="preserve"> and C</t>
    </r>
    <r>
      <rPr>
        <vertAlign val="subscript"/>
        <sz val="10"/>
        <color theme="1"/>
        <rFont val="Arial"/>
        <family val="2"/>
      </rPr>
      <t>DIV2</t>
    </r>
    <r>
      <rPr>
        <sz val="10"/>
        <color theme="1"/>
        <rFont val="Arial"/>
        <family val="2"/>
      </rPr>
      <t>.</t>
    </r>
  </si>
  <si>
    <t>Primary side supply voltage in three-wire mode. In two-wire mode, this value is a do not care.</t>
  </si>
  <si>
    <r>
      <t>Max I</t>
    </r>
    <r>
      <rPr>
        <vertAlign val="subscript"/>
        <sz val="10"/>
        <color theme="1"/>
        <rFont val="Arial"/>
        <family val="2"/>
      </rPr>
      <t>AUX</t>
    </r>
  </si>
  <si>
    <r>
      <t>Q</t>
    </r>
    <r>
      <rPr>
        <vertAlign val="subscript"/>
        <sz val="10"/>
        <color theme="1"/>
        <rFont val="Arial"/>
        <family val="2"/>
      </rPr>
      <t>total</t>
    </r>
  </si>
  <si>
    <r>
      <t>C</t>
    </r>
    <r>
      <rPr>
        <vertAlign val="subscript"/>
        <sz val="10"/>
        <color theme="1"/>
        <rFont val="Arial"/>
        <family val="2"/>
      </rPr>
      <t>total</t>
    </r>
  </si>
  <si>
    <r>
      <t>Series combination of C</t>
    </r>
    <r>
      <rPr>
        <vertAlign val="subscript"/>
        <sz val="10"/>
        <color theme="1"/>
        <rFont val="Arial"/>
        <family val="2"/>
      </rPr>
      <t>DIV1</t>
    </r>
    <r>
      <rPr>
        <sz val="10"/>
        <color theme="1"/>
        <rFont val="Arial"/>
        <family val="2"/>
      </rPr>
      <t xml:space="preserve"> and C</t>
    </r>
    <r>
      <rPr>
        <vertAlign val="subscript"/>
        <sz val="10"/>
        <color theme="1"/>
        <rFont val="Arial"/>
        <family val="2"/>
      </rPr>
      <t>DIV2</t>
    </r>
  </si>
  <si>
    <t>Release</t>
  </si>
  <si>
    <t>Description</t>
  </si>
  <si>
    <t>Initial release.</t>
  </si>
  <si>
    <r>
      <t>Computed minimum capacitance between VDDH and VDDM to meet specified VDDH</t>
    </r>
    <r>
      <rPr>
        <vertAlign val="subscript"/>
        <sz val="10"/>
        <color theme="1"/>
        <rFont val="Arial"/>
        <family val="2"/>
      </rPr>
      <t>droop</t>
    </r>
    <r>
      <rPr>
        <sz val="10"/>
        <color theme="1"/>
        <rFont val="Arial"/>
        <family val="2"/>
      </rPr>
      <t>.</t>
    </r>
  </si>
  <si>
    <r>
      <t>Computed minimum capacitance between VDDM and VSSS to meet specified VDDH</t>
    </r>
    <r>
      <rPr>
        <vertAlign val="subscript"/>
        <sz val="10"/>
        <color theme="1"/>
        <rFont val="Arial"/>
        <family val="2"/>
      </rPr>
      <t>droop</t>
    </r>
    <r>
      <rPr>
        <sz val="10"/>
        <color theme="1"/>
        <rFont val="Arial"/>
        <family val="2"/>
      </rPr>
      <t>.</t>
    </r>
  </si>
  <si>
    <r>
      <t>C</t>
    </r>
    <r>
      <rPr>
        <vertAlign val="subscript"/>
        <sz val="10"/>
        <color theme="1"/>
        <rFont val="Arial"/>
        <family val="2"/>
      </rPr>
      <t>IN</t>
    </r>
  </si>
  <si>
    <r>
      <t>C</t>
    </r>
    <r>
      <rPr>
        <vertAlign val="subscript"/>
        <sz val="10"/>
        <color theme="1"/>
        <rFont val="Arial"/>
        <family val="2"/>
      </rPr>
      <t>DIV1_CALC</t>
    </r>
  </si>
  <si>
    <r>
      <t>C</t>
    </r>
    <r>
      <rPr>
        <vertAlign val="subscript"/>
        <sz val="10"/>
        <color theme="1"/>
        <rFont val="Arial"/>
        <family val="2"/>
      </rPr>
      <t>DIV2_CALC</t>
    </r>
  </si>
  <si>
    <t>OPTION A</t>
  </si>
  <si>
    <t>OPTION B</t>
  </si>
  <si>
    <t>Which option to use for calculator?</t>
  </si>
  <si>
    <t>Select "A" for OPTION A
Select "B" for OPTION B</t>
  </si>
  <si>
    <t>Option</t>
  </si>
  <si>
    <t>Updated VDDM ripple calculation.</t>
  </si>
  <si>
    <t>Operating Mode</t>
  </si>
  <si>
    <t>Added IAUX calculation for two-wire mode.</t>
  </si>
  <si>
    <t>Added selection for operating mode.</t>
  </si>
  <si>
    <t>VDDM_3050</t>
  </si>
  <si>
    <t>VDDM_3052</t>
  </si>
  <si>
    <t>VDDH_3050</t>
  </si>
  <si>
    <t>VDDH_3052</t>
  </si>
  <si>
    <t>Device</t>
  </si>
  <si>
    <t>Select device type.</t>
  </si>
  <si>
    <r>
      <t>C</t>
    </r>
    <r>
      <rPr>
        <vertAlign val="subscript"/>
        <sz val="10"/>
        <color theme="1"/>
        <rFont val="Arial"/>
        <family val="2"/>
      </rPr>
      <t>TOTAL</t>
    </r>
  </si>
  <si>
    <t>Updated SCR/TRIAC calculations.</t>
  </si>
  <si>
    <r>
      <t>Q</t>
    </r>
    <r>
      <rPr>
        <vertAlign val="subscript"/>
        <sz val="10"/>
        <color theme="1"/>
        <rFont val="Arial"/>
        <family val="2"/>
      </rPr>
      <t>TOTAL</t>
    </r>
  </si>
  <si>
    <r>
      <t>R</t>
    </r>
    <r>
      <rPr>
        <vertAlign val="subscript"/>
        <sz val="10"/>
        <color theme="1"/>
        <rFont val="Arial"/>
        <family val="2"/>
      </rPr>
      <t>PXFR</t>
    </r>
    <r>
      <rPr>
        <sz val="10"/>
        <color theme="1"/>
        <rFont val="Arial"/>
        <family val="2"/>
      </rPr>
      <t>, kΩ</t>
    </r>
  </si>
  <si>
    <t>Power transfer duty cycle, %</t>
  </si>
  <si>
    <r>
      <t>Updated recommended VDDH</t>
    </r>
    <r>
      <rPr>
        <vertAlign val="subscript"/>
        <sz val="10"/>
        <color theme="1"/>
        <rFont val="Arial"/>
        <family val="2"/>
      </rPr>
      <t>droop</t>
    </r>
    <r>
      <rPr>
        <sz val="10"/>
        <color theme="1"/>
        <rFont val="Arial"/>
        <family val="2"/>
      </rPr>
      <t xml:space="preserve"> to 500mV.</t>
    </r>
  </si>
  <si>
    <t>Modified name of DUTY to PXFR.</t>
  </si>
  <si>
    <t>Duty Cycle</t>
  </si>
  <si>
    <t>EFFICIENCY_LO</t>
  </si>
  <si>
    <t>EFFICIENCY_MID</t>
  </si>
  <si>
    <t>EFFICIENCY_HI</t>
  </si>
  <si>
    <t>°C</t>
  </si>
  <si>
    <t>Effective Duty Cycle</t>
  </si>
  <si>
    <t>Adjusted power transfer for three-wire mode to account for when EN is low.</t>
  </si>
  <si>
    <r>
      <t>T</t>
    </r>
    <r>
      <rPr>
        <vertAlign val="subscript"/>
        <sz val="10"/>
        <color theme="1"/>
        <rFont val="Arial"/>
        <family val="2"/>
      </rPr>
      <t>A</t>
    </r>
  </si>
  <si>
    <r>
      <rPr>
        <sz val="10"/>
        <color theme="1"/>
        <rFont val="Calibri"/>
        <family val="2"/>
      </rPr>
      <t>°</t>
    </r>
    <r>
      <rPr>
        <sz val="10"/>
        <color theme="1"/>
        <rFont val="Arial"/>
        <family val="2"/>
      </rPr>
      <t>C</t>
    </r>
  </si>
  <si>
    <t>Updated user input to select device type.</t>
  </si>
  <si>
    <t>Added user input for ambient temperature.</t>
  </si>
  <si>
    <t>kΩ</t>
  </si>
  <si>
    <r>
      <t>R</t>
    </r>
    <r>
      <rPr>
        <vertAlign val="subscript"/>
        <sz val="10"/>
        <color theme="1"/>
        <rFont val="Arial"/>
        <family val="2"/>
      </rPr>
      <t>PXFR</t>
    </r>
  </si>
  <si>
    <r>
      <t xml:space="preserve"> I</t>
    </r>
    <r>
      <rPr>
        <vertAlign val="subscript"/>
        <sz val="10"/>
        <color theme="1"/>
        <rFont val="Arial"/>
        <family val="2"/>
      </rPr>
      <t>AUX_MAX</t>
    </r>
    <r>
      <rPr>
        <sz val="10"/>
        <color theme="1"/>
        <rFont val="Arial"/>
        <family val="2"/>
      </rPr>
      <t>, mA</t>
    </r>
  </si>
  <si>
    <t>kHz</t>
  </si>
  <si>
    <t>mW</t>
  </si>
  <si>
    <r>
      <t>f</t>
    </r>
    <r>
      <rPr>
        <vertAlign val="subscript"/>
        <sz val="10"/>
        <color theme="1"/>
        <rFont val="Arial"/>
        <family val="2"/>
      </rPr>
      <t>MAX</t>
    </r>
  </si>
  <si>
    <t>s</t>
  </si>
  <si>
    <r>
      <t>T</t>
    </r>
    <r>
      <rPr>
        <vertAlign val="subscript"/>
        <sz val="10"/>
        <color theme="1"/>
        <rFont val="Arial"/>
        <family val="2"/>
      </rPr>
      <t>OFF</t>
    </r>
  </si>
  <si>
    <r>
      <t>P</t>
    </r>
    <r>
      <rPr>
        <vertAlign val="subscript"/>
        <sz val="10"/>
        <color theme="1"/>
        <rFont val="Arial"/>
        <family val="2"/>
      </rPr>
      <t>SELECTED</t>
    </r>
  </si>
  <si>
    <r>
      <t>R</t>
    </r>
    <r>
      <rPr>
        <vertAlign val="subscript"/>
        <sz val="10"/>
        <color theme="1"/>
        <rFont val="Arial"/>
        <family val="2"/>
      </rPr>
      <t>PXFR_REQUIRED</t>
    </r>
  </si>
  <si>
    <r>
      <t>f</t>
    </r>
    <r>
      <rPr>
        <vertAlign val="subscript"/>
        <sz val="10"/>
        <color theme="1"/>
        <rFont val="Arial"/>
        <family val="2"/>
      </rPr>
      <t>EN</t>
    </r>
  </si>
  <si>
    <r>
      <t>P</t>
    </r>
    <r>
      <rPr>
        <vertAlign val="subscript"/>
        <sz val="10"/>
        <color theme="1"/>
        <rFont val="Arial"/>
        <family val="2"/>
      </rPr>
      <t>REQ_AC</t>
    </r>
  </si>
  <si>
    <r>
      <t>P</t>
    </r>
    <r>
      <rPr>
        <vertAlign val="subscript"/>
        <sz val="10"/>
        <color theme="1"/>
        <rFont val="Arial"/>
        <family val="2"/>
      </rPr>
      <t>REQ_DC</t>
    </r>
  </si>
  <si>
    <r>
      <t>P</t>
    </r>
    <r>
      <rPr>
        <vertAlign val="subscript"/>
        <sz val="10"/>
        <color theme="1"/>
        <rFont val="Arial"/>
        <family val="2"/>
      </rPr>
      <t>REQ_TOTAL</t>
    </r>
  </si>
  <si>
    <r>
      <t>Powered required for switching Q</t>
    </r>
    <r>
      <rPr>
        <vertAlign val="subscript"/>
        <sz val="10"/>
        <color theme="1"/>
        <rFont val="Arial"/>
        <family val="2"/>
      </rPr>
      <t>TOTAL</t>
    </r>
  </si>
  <si>
    <r>
      <t>Powered required for supplying I</t>
    </r>
    <r>
      <rPr>
        <vertAlign val="subscript"/>
        <sz val="10"/>
        <color theme="1"/>
        <rFont val="Arial"/>
        <family val="2"/>
      </rPr>
      <t>AUX</t>
    </r>
  </si>
  <si>
    <t>Total power required.</t>
  </si>
  <si>
    <r>
      <t>Power available based on R</t>
    </r>
    <r>
      <rPr>
        <vertAlign val="subscript"/>
        <sz val="10"/>
        <color theme="1"/>
        <rFont val="Arial"/>
        <family val="2"/>
      </rPr>
      <t>PXFR</t>
    </r>
    <r>
      <rPr>
        <sz val="10"/>
        <color theme="1"/>
        <rFont val="Arial"/>
        <family val="2"/>
      </rPr>
      <t xml:space="preserve"> selection.</t>
    </r>
  </si>
  <si>
    <r>
      <t>Minimum required R</t>
    </r>
    <r>
      <rPr>
        <vertAlign val="subscript"/>
        <sz val="10"/>
        <color theme="1"/>
        <rFont val="Arial"/>
        <family val="2"/>
      </rPr>
      <t>PXFR</t>
    </r>
    <r>
      <rPr>
        <sz val="10"/>
        <color theme="1"/>
        <rFont val="Arial"/>
        <family val="2"/>
      </rPr>
      <t xml:space="preserve"> setting to meet load requirements.</t>
    </r>
  </si>
  <si>
    <t>VDDM</t>
  </si>
  <si>
    <t>VDDH</t>
  </si>
  <si>
    <r>
      <t>Maximum f</t>
    </r>
    <r>
      <rPr>
        <vertAlign val="subscript"/>
        <sz val="10"/>
        <color theme="1"/>
        <rFont val="Arial"/>
        <family val="2"/>
      </rPr>
      <t>MAX</t>
    </r>
    <r>
      <rPr>
        <sz val="10"/>
        <color theme="1"/>
        <rFont val="Arial"/>
        <family val="2"/>
      </rPr>
      <t xml:space="preserve"> available with current I</t>
    </r>
    <r>
      <rPr>
        <vertAlign val="subscript"/>
        <sz val="10"/>
        <color theme="1"/>
        <rFont val="Arial"/>
        <family val="2"/>
      </rPr>
      <t>AUX</t>
    </r>
    <r>
      <rPr>
        <sz val="10"/>
        <color theme="1"/>
        <rFont val="Arial"/>
        <family val="2"/>
      </rPr>
      <t xml:space="preserve"> setting.</t>
    </r>
  </si>
  <si>
    <r>
      <t>Maximum I</t>
    </r>
    <r>
      <rPr>
        <vertAlign val="subscript"/>
        <sz val="10"/>
        <color theme="1"/>
        <rFont val="Arial"/>
        <family val="2"/>
      </rPr>
      <t>AUX</t>
    </r>
    <r>
      <rPr>
        <sz val="10"/>
        <color theme="1"/>
        <rFont val="Arial"/>
        <family val="2"/>
      </rPr>
      <t xml:space="preserve"> current available with current f</t>
    </r>
    <r>
      <rPr>
        <vertAlign val="subscript"/>
        <sz val="10"/>
        <color theme="1"/>
        <rFont val="Arial"/>
        <family val="2"/>
      </rPr>
      <t>EN</t>
    </r>
    <r>
      <rPr>
        <sz val="10"/>
        <color theme="1"/>
        <rFont val="Arial"/>
        <family val="2"/>
      </rPr>
      <t xml:space="preserve"> setting.</t>
    </r>
  </si>
  <si>
    <r>
      <t>f</t>
    </r>
    <r>
      <rPr>
        <vertAlign val="subscript"/>
        <sz val="10"/>
        <color theme="1"/>
        <rFont val="Arial"/>
        <family val="2"/>
      </rPr>
      <t>EN_MAX</t>
    </r>
    <r>
      <rPr>
        <sz val="10"/>
        <color theme="1"/>
        <rFont val="Arial"/>
        <family val="2"/>
      </rPr>
      <t>, kHz</t>
    </r>
  </si>
  <si>
    <r>
      <t>I</t>
    </r>
    <r>
      <rPr>
        <vertAlign val="subscript"/>
        <sz val="10"/>
        <color theme="1"/>
        <rFont val="Arial"/>
        <family val="2"/>
      </rPr>
      <t>AUX_MAX</t>
    </r>
    <r>
      <rPr>
        <sz val="10"/>
        <color theme="1"/>
        <rFont val="Arial"/>
        <family val="2"/>
      </rPr>
      <t>,mA</t>
    </r>
  </si>
  <si>
    <t>VDDM selection based on selected device type.</t>
  </si>
  <si>
    <t>VDDH selection based on selected device type.</t>
  </si>
  <si>
    <r>
      <t>I</t>
    </r>
    <r>
      <rPr>
        <vertAlign val="subscript"/>
        <sz val="10"/>
        <color theme="1"/>
        <rFont val="Arial"/>
        <family val="2"/>
      </rPr>
      <t>DC_DC</t>
    </r>
    <r>
      <rPr>
        <sz val="10"/>
        <color theme="1"/>
        <rFont val="Arial"/>
        <family val="2"/>
      </rPr>
      <t>, mA</t>
    </r>
  </si>
  <si>
    <r>
      <t>I</t>
    </r>
    <r>
      <rPr>
        <vertAlign val="subscript"/>
        <sz val="10"/>
        <color theme="1"/>
        <rFont val="Arial"/>
        <family val="2"/>
      </rPr>
      <t>CDIV1</t>
    </r>
    <r>
      <rPr>
        <sz val="10"/>
        <color theme="1"/>
        <rFont val="Arial"/>
        <family val="2"/>
      </rPr>
      <t>, mA</t>
    </r>
  </si>
  <si>
    <r>
      <t>I</t>
    </r>
    <r>
      <rPr>
        <vertAlign val="subscript"/>
        <sz val="10"/>
        <color theme="1"/>
        <rFont val="Arial"/>
        <family val="2"/>
      </rPr>
      <t>CDIV2</t>
    </r>
    <r>
      <rPr>
        <sz val="10"/>
        <color theme="1"/>
        <rFont val="Arial"/>
        <family val="2"/>
      </rPr>
      <t>, mA</t>
    </r>
  </si>
  <si>
    <r>
      <t>VDDM</t>
    </r>
    <r>
      <rPr>
        <vertAlign val="subscript"/>
        <sz val="10"/>
        <color theme="1"/>
        <rFont val="Arial"/>
        <family val="2"/>
      </rPr>
      <t>START</t>
    </r>
    <r>
      <rPr>
        <sz val="10"/>
        <color theme="1"/>
        <rFont val="Arial"/>
        <family val="2"/>
      </rPr>
      <t>, V</t>
    </r>
  </si>
  <si>
    <t>Added user input for EN frequency.</t>
  </si>
  <si>
    <r>
      <t>Adjusted VDDH</t>
    </r>
    <r>
      <rPr>
        <vertAlign val="subscript"/>
        <sz val="10"/>
        <color theme="1"/>
        <rFont val="Arial"/>
        <family val="2"/>
      </rPr>
      <t>droop</t>
    </r>
    <r>
      <rPr>
        <sz val="10"/>
        <color theme="1"/>
        <rFont val="Arial"/>
        <family val="2"/>
      </rPr>
      <t xml:space="preserve"> to account for secondary bias currents.</t>
    </r>
  </si>
  <si>
    <r>
      <t>VDDM</t>
    </r>
    <r>
      <rPr>
        <vertAlign val="subscript"/>
        <sz val="10"/>
        <color theme="1"/>
        <rFont val="Arial"/>
        <family val="2"/>
      </rPr>
      <t>droop</t>
    </r>
  </si>
  <si>
    <t>Computed VDDM droop when switching the load presented on VDRV.</t>
  </si>
  <si>
    <r>
      <t>Added VDDM</t>
    </r>
    <r>
      <rPr>
        <vertAlign val="subscript"/>
        <sz val="10"/>
        <color theme="1"/>
        <rFont val="Arial"/>
        <family val="2"/>
      </rPr>
      <t>droop</t>
    </r>
    <r>
      <rPr>
        <sz val="10"/>
        <color theme="1"/>
        <rFont val="Arial"/>
        <family val="2"/>
      </rPr>
      <t xml:space="preserve"> calculation.</t>
    </r>
  </si>
  <si>
    <r>
      <t>P</t>
    </r>
    <r>
      <rPr>
        <vertAlign val="subscript"/>
        <sz val="10"/>
        <color theme="1"/>
        <rFont val="Arial"/>
        <family val="2"/>
      </rPr>
      <t>AVAILABLE</t>
    </r>
    <r>
      <rPr>
        <sz val="10"/>
        <color theme="1"/>
        <rFont val="Arial"/>
        <family val="2"/>
      </rPr>
      <t>?</t>
    </r>
  </si>
  <si>
    <t>Power available</t>
  </si>
  <si>
    <t>Mode</t>
  </si>
  <si>
    <r>
      <t>Added user input for R</t>
    </r>
    <r>
      <rPr>
        <vertAlign val="subscript"/>
        <sz val="10"/>
        <color theme="1"/>
        <rFont val="Arial"/>
        <family val="2"/>
      </rPr>
      <t>PXFR</t>
    </r>
    <r>
      <rPr>
        <sz val="10"/>
        <color theme="1"/>
        <rFont val="Arial"/>
        <family val="2"/>
      </rPr>
      <t>.</t>
    </r>
  </si>
  <si>
    <r>
      <t>t</t>
    </r>
    <r>
      <rPr>
        <vertAlign val="subscript"/>
        <sz val="10"/>
        <color theme="1"/>
        <rFont val="Arial"/>
        <family val="2"/>
      </rPr>
      <t>START_CDIV</t>
    </r>
    <r>
      <rPr>
        <sz val="10"/>
        <color theme="1"/>
        <rFont val="Arial"/>
        <family val="2"/>
      </rPr>
      <t>, µs</t>
    </r>
  </si>
  <si>
    <t xml:space="preserve"> ,</t>
  </si>
  <si>
    <t>Added conditional formatting to reveal sections in use.</t>
  </si>
  <si>
    <t>Added TI logo, title, red banner.</t>
  </si>
  <si>
    <t>Added SCR, TRIAC, MOSFET, IGBT diagrams</t>
  </si>
  <si>
    <t>Editorial updates.</t>
  </si>
  <si>
    <t>Updated tSTART calculation.</t>
  </si>
  <si>
    <t>Updated VDDH/VDDM discharge calculation.</t>
  </si>
  <si>
    <t>Corrected typo on CDIV1 discription.</t>
  </si>
  <si>
    <t>Efficiency intercept, regression</t>
  </si>
  <si>
    <t>Efficiency coefficient, regression</t>
  </si>
  <si>
    <t xml:space="preserve">Automatically ported from user input worksheet. </t>
  </si>
  <si>
    <t>tLH_VDDH, µs</t>
  </si>
  <si>
    <t>VDDM_TLH_VDDH</t>
  </si>
  <si>
    <t>VDDM voltage used to measure TLH_VDDH</t>
  </si>
  <si>
    <r>
      <t>Net P</t>
    </r>
    <r>
      <rPr>
        <vertAlign val="subscript"/>
        <sz val="10"/>
        <color theme="1"/>
        <rFont val="Arial"/>
        <family val="2"/>
      </rPr>
      <t>IN</t>
    </r>
    <r>
      <rPr>
        <sz val="10"/>
        <color theme="1"/>
        <rFont val="Arial"/>
        <family val="2"/>
      </rPr>
      <t>, mW</t>
    </r>
  </si>
  <si>
    <r>
      <t>P</t>
    </r>
    <r>
      <rPr>
        <vertAlign val="subscript"/>
        <sz val="10"/>
        <color theme="1"/>
        <rFont val="Arial"/>
        <family val="2"/>
      </rPr>
      <t>OUT_XFR,</t>
    </r>
    <r>
      <rPr>
        <sz val="10"/>
        <color theme="1"/>
        <rFont val="Arial"/>
        <family val="2"/>
      </rPr>
      <t xml:space="preserve"> mW</t>
    </r>
  </si>
  <si>
    <t>VDDP_AVG</t>
  </si>
  <si>
    <t>Updated efficiency characteristics and associated power calcutions.</t>
  </si>
  <si>
    <t>Computed equivalent load capacitance.</t>
  </si>
  <si>
    <t>IVDDP_regresson_100percent</t>
  </si>
  <si>
    <t>From A1 TPSI3052 characterization data regression adjusted for 100% duty</t>
  </si>
  <si>
    <t>TEMP_COEFF</t>
  </si>
  <si>
    <t>VDDP_COEFF</t>
  </si>
  <si>
    <t>DUTY_COEFF</t>
  </si>
  <si>
    <t>TEMP_SQ_COEFF</t>
  </si>
  <si>
    <t>VDDP_SQ_COEFF</t>
  </si>
  <si>
    <t>DUTY_SQ_COEFF</t>
  </si>
  <si>
    <t>INTERCEPT</t>
  </si>
  <si>
    <t>VDDP_SQ</t>
  </si>
  <si>
    <t>TEMP_SQ</t>
  </si>
  <si>
    <t>TEMP</t>
  </si>
  <si>
    <t>Squared term used in efficiency regression</t>
  </si>
  <si>
    <t>Set by design implementation. Used in two-wire mode only.</t>
  </si>
  <si>
    <t>Computed efficiency for low PXFR settings</t>
  </si>
  <si>
    <t>Computed efficiency for mid PXFR settings</t>
  </si>
  <si>
    <t>Computed efficiency for hi PXFR settings.</t>
  </si>
  <si>
    <t>Updated efficiency computation based on temperature, RPXFR setting, and VDDP.</t>
  </si>
  <si>
    <t>Updated input power computation.</t>
  </si>
  <si>
    <t>Ω</t>
  </si>
  <si>
    <r>
      <t>I</t>
    </r>
    <r>
      <rPr>
        <vertAlign val="subscript"/>
        <sz val="10"/>
        <color theme="1"/>
        <rFont val="Arial"/>
        <family val="2"/>
      </rPr>
      <t>GT_MAX</t>
    </r>
  </si>
  <si>
    <r>
      <t>I</t>
    </r>
    <r>
      <rPr>
        <vertAlign val="subscript"/>
        <sz val="10"/>
        <color theme="1"/>
        <rFont val="Arial"/>
        <family val="2"/>
      </rPr>
      <t>GT_MIN</t>
    </r>
  </si>
  <si>
    <r>
      <t>I</t>
    </r>
    <r>
      <rPr>
        <vertAlign val="subscript"/>
        <sz val="10"/>
        <color theme="1"/>
        <rFont val="Arial"/>
        <family val="2"/>
      </rPr>
      <t>GT_AVG</t>
    </r>
  </si>
  <si>
    <t>Computed trigger current at start of trigger pulse.</t>
  </si>
  <si>
    <t xml:space="preserve">Computed average trigger current. </t>
  </si>
  <si>
    <r>
      <t>V</t>
    </r>
    <r>
      <rPr>
        <vertAlign val="subscript"/>
        <sz val="10"/>
        <color theme="1"/>
        <rFont val="Arial"/>
        <family val="2"/>
      </rPr>
      <t>GT</t>
    </r>
  </si>
  <si>
    <t>Triggering gate voltage.</t>
  </si>
  <si>
    <t>External gate resistance to limit trigger current.</t>
  </si>
  <si>
    <r>
      <t>R</t>
    </r>
    <r>
      <rPr>
        <vertAlign val="subscript"/>
        <sz val="10"/>
        <color theme="1"/>
        <rFont val="Arial"/>
        <family val="2"/>
      </rPr>
      <t>LIMIT</t>
    </r>
  </si>
  <si>
    <r>
      <t>t</t>
    </r>
    <r>
      <rPr>
        <vertAlign val="subscript"/>
        <sz val="10"/>
        <color theme="1"/>
        <rFont val="Arial"/>
        <family val="2"/>
      </rPr>
      <t>GT</t>
    </r>
  </si>
  <si>
    <r>
      <t>I</t>
    </r>
    <r>
      <rPr>
        <vertAlign val="subscript"/>
        <sz val="10"/>
        <color theme="1"/>
        <rFont val="Arial"/>
        <family val="2"/>
      </rPr>
      <t>GT</t>
    </r>
  </si>
  <si>
    <t>Trigger gate current.</t>
  </si>
  <si>
    <t>Maximum targeted VDDH droop when triggering. Recommend 1V or less.</t>
  </si>
  <si>
    <t>Required minimum EN high time.</t>
  </si>
  <si>
    <t>Computed VDDM droop when triggering.</t>
  </si>
  <si>
    <t>Computed VDDM ripple.</t>
  </si>
  <si>
    <t>Off time of power transfer cycle.</t>
  </si>
  <si>
    <t>Total charge required.</t>
  </si>
  <si>
    <t>F</t>
  </si>
  <si>
    <r>
      <t>t</t>
    </r>
    <r>
      <rPr>
        <vertAlign val="subscript"/>
        <sz val="10"/>
        <color theme="1"/>
        <rFont val="Arial"/>
        <family val="2"/>
      </rPr>
      <t>EN</t>
    </r>
  </si>
  <si>
    <r>
      <t>t</t>
    </r>
    <r>
      <rPr>
        <vertAlign val="subscript"/>
        <sz val="10"/>
        <color theme="1"/>
        <rFont val="Arial"/>
        <family val="2"/>
      </rPr>
      <t>EN_min</t>
    </r>
  </si>
  <si>
    <t>Select S for SCR, TRIAC.
Select F for MOSFET, IGBT.</t>
  </si>
  <si>
    <t>User input error</t>
  </si>
  <si>
    <t>Added S-version devices.</t>
  </si>
  <si>
    <t>TPSI3050</t>
  </si>
  <si>
    <t>Added TPSI3050M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</si>
</sst>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
    <numFmt numFmtId="167" formatCode="0.0000"/>
    <numFmt numFmtId="168" formatCode="0.000E+00"/>
    <numFmt numFmtId="169" formatCode="0.0000E+00"/>
  </numFmts>
  <fonts count="11" x14ac:knownFonts="1">
    <font>
      <sz val="10"/>
      <color theme="1"/>
      <name val="Arial"/>
      <family val="2"/>
    </font>
    <font>
      <b/>
      <sz val="10"/>
      <color theme="1"/>
      <name val="Arial"/>
      <family val="2"/>
    </font>
    <font>
      <vertAlign val="subscript"/>
      <sz val="10"/>
      <color theme="1"/>
      <name val="Arial"/>
      <family val="2"/>
    </font>
    <font>
      <sz val="10"/>
      <color theme="1"/>
      <name val="Arial"/>
      <family val="2"/>
    </font>
    <font>
      <i/>
      <sz val="10"/>
      <color theme="1"/>
      <name val="Arial"/>
      <family val="2"/>
    </font>
    <font>
      <b/>
      <sz val="14"/>
      <color theme="1"/>
      <name val="Arial"/>
      <family val="2"/>
    </font>
    <font>
      <sz val="10"/>
      <color theme="1"/>
      <name val="Calibri"/>
      <family val="2"/>
    </font>
    <font>
      <b/>
      <sz val="11"/>
      <color rgb="FFFA7D00"/>
      <name val="Calibri"/>
      <family val="2"/>
      <scheme val="minor"/>
    </font>
    <font>
      <sz val="9"/>
      <color indexed="81"/>
      <name val="Tahoma"/>
      <family val="2"/>
    </font>
    <font>
      <b/>
      <sz val="9"/>
      <color indexed="81"/>
      <name val="Tahoma"/>
      <family val="2"/>
    </font>
    <font>
      <vertAlign val="subscript"/>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2F2F2"/>
      </patternFill>
    </fill>
    <fill>
      <patternFill patternType="solid">
        <fgColor rgb="FFDE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7" fillId="4" borderId="8" applyNumberFormat="0" applyAlignment="0" applyProtection="0"/>
  </cellStyleXfs>
  <cellXfs count="140">
    <xf numFmtId="0" fontId="0" fillId="0" borderId="0" xfId="0"/>
    <xf numFmtId="0" fontId="0" fillId="0" borderId="1" xfId="0" applyBorder="1"/>
    <xf numFmtId="2" fontId="0" fillId="0" borderId="1" xfId="0" applyNumberFormat="1" applyFill="1" applyBorder="1"/>
    <xf numFmtId="0" fontId="0" fillId="0" borderId="1" xfId="0" applyFill="1" applyBorder="1"/>
    <xf numFmtId="11" fontId="0" fillId="0" borderId="1" xfId="0" applyNumberFormat="1" applyFill="1" applyBorder="1"/>
    <xf numFmtId="0" fontId="0" fillId="0" borderId="0" xfId="0" applyFill="1" applyBorder="1"/>
    <xf numFmtId="0" fontId="0" fillId="0" borderId="0" xfId="0" applyBorder="1"/>
    <xf numFmtId="0" fontId="0" fillId="0" borderId="0" xfId="0" applyBorder="1" applyAlignment="1"/>
    <xf numFmtId="0" fontId="0" fillId="0" borderId="6" xfId="0" applyBorder="1"/>
    <xf numFmtId="2" fontId="0" fillId="0" borderId="0" xfId="0" applyNumberFormat="1" applyBorder="1"/>
    <xf numFmtId="9" fontId="0" fillId="0" borderId="0" xfId="1" applyFont="1" applyBorder="1" applyAlignment="1"/>
    <xf numFmtId="0" fontId="1" fillId="0" borderId="0" xfId="0" applyFont="1"/>
    <xf numFmtId="0" fontId="5" fillId="0" borderId="0" xfId="0" applyFont="1"/>
    <xf numFmtId="0" fontId="1" fillId="0" borderId="1" xfId="0" applyFont="1" applyBorder="1" applyProtection="1">
      <protection hidden="1"/>
    </xf>
    <xf numFmtId="9" fontId="0" fillId="0" borderId="5" xfId="1" applyFont="1" applyBorder="1" applyAlignment="1" applyProtection="1">
      <protection hidden="1"/>
    </xf>
    <xf numFmtId="9" fontId="0" fillId="0" borderId="6" xfId="1" applyFont="1" applyBorder="1" applyAlignment="1" applyProtection="1">
      <protection hidden="1"/>
    </xf>
    <xf numFmtId="9" fontId="0" fillId="0" borderId="0" xfId="1" applyFont="1" applyBorder="1" applyAlignment="1" applyProtection="1">
      <protection hidden="1"/>
    </xf>
    <xf numFmtId="0" fontId="0" fillId="0" borderId="1" xfId="0" applyFill="1" applyBorder="1" applyAlignment="1" applyProtection="1">
      <alignment horizontal="right"/>
      <protection hidden="1"/>
    </xf>
    <xf numFmtId="0" fontId="0" fillId="0" borderId="1" xfId="0" applyBorder="1" applyAlignment="1" applyProtection="1">
      <alignment horizontal="center"/>
      <protection hidden="1"/>
    </xf>
    <xf numFmtId="0" fontId="0" fillId="0" borderId="1" xfId="0" applyBorder="1" applyProtection="1">
      <protection hidden="1"/>
    </xf>
    <xf numFmtId="2" fontId="0" fillId="3" borderId="1" xfId="0" applyNumberFormat="1" applyFill="1" applyBorder="1" applyProtection="1">
      <protection hidden="1"/>
    </xf>
    <xf numFmtId="0" fontId="0" fillId="0" borderId="0" xfId="0" applyProtection="1">
      <protection hidden="1"/>
    </xf>
    <xf numFmtId="0" fontId="0" fillId="0" borderId="5" xfId="0" applyBorder="1" applyProtection="1">
      <protection hidden="1"/>
    </xf>
    <xf numFmtId="0" fontId="0" fillId="0" borderId="0" xfId="0" applyBorder="1" applyAlignment="1" applyProtection="1">
      <protection hidden="1"/>
    </xf>
    <xf numFmtId="164" fontId="0" fillId="0" borderId="1" xfId="1" applyNumberFormat="1" applyFont="1" applyBorder="1" applyProtection="1">
      <protection hidden="1"/>
    </xf>
    <xf numFmtId="0" fontId="0" fillId="2" borderId="1" xfId="0" applyFill="1" applyBorder="1" applyProtection="1">
      <protection locked="0"/>
    </xf>
    <xf numFmtId="0" fontId="0" fillId="2" borderId="1" xfId="0" applyFill="1" applyBorder="1" applyAlignment="1" applyProtection="1">
      <alignment horizontal="right" vertical="center"/>
      <protection locked="0"/>
    </xf>
    <xf numFmtId="165" fontId="0" fillId="0" borderId="1" xfId="0" applyNumberFormat="1" applyBorder="1"/>
    <xf numFmtId="0" fontId="0" fillId="0" borderId="1" xfId="0" applyFill="1" applyBorder="1" applyAlignment="1" applyProtection="1">
      <alignment horizontal="center"/>
      <protection hidden="1"/>
    </xf>
    <xf numFmtId="0" fontId="0" fillId="0" borderId="1" xfId="0" applyBorder="1" applyAlignment="1">
      <alignment horizontal="center"/>
    </xf>
    <xf numFmtId="11" fontId="0" fillId="0" borderId="1" xfId="0" applyNumberFormat="1" applyBorder="1"/>
    <xf numFmtId="166" fontId="0" fillId="3" borderId="1" xfId="0" applyNumberFormat="1" applyFill="1" applyBorder="1" applyProtection="1">
      <protection hidden="1"/>
    </xf>
    <xf numFmtId="2" fontId="0" fillId="0" borderId="1" xfId="1" applyNumberFormat="1" applyFont="1" applyFill="1" applyBorder="1"/>
    <xf numFmtId="0" fontId="0" fillId="0" borderId="1" xfId="0" applyBorder="1" applyAlignment="1">
      <alignment wrapText="1"/>
    </xf>
    <xf numFmtId="11" fontId="0" fillId="0" borderId="7" xfId="0" applyNumberFormat="1" applyFill="1" applyBorder="1"/>
    <xf numFmtId="0" fontId="0" fillId="0" borderId="1" xfId="0" applyFont="1" applyBorder="1" applyProtection="1">
      <protection hidden="1"/>
    </xf>
    <xf numFmtId="164" fontId="0" fillId="0" borderId="1" xfId="1" applyNumberFormat="1" applyFont="1" applyFill="1" applyBorder="1" applyProtection="1">
      <protection hidden="1"/>
    </xf>
    <xf numFmtId="2" fontId="0" fillId="3" borderId="1" xfId="0" applyNumberFormat="1" applyFill="1" applyBorder="1" applyAlignment="1" applyProtection="1">
      <alignment horizontal="right"/>
    </xf>
    <xf numFmtId="2" fontId="0" fillId="2" borderId="1" xfId="0" applyNumberFormat="1" applyFill="1" applyBorder="1" applyProtection="1">
      <protection locked="0"/>
    </xf>
    <xf numFmtId="1" fontId="0" fillId="2" borderId="1" xfId="0" applyNumberFormat="1" applyFill="1" applyBorder="1" applyProtection="1">
      <protection locked="0"/>
    </xf>
    <xf numFmtId="166" fontId="0" fillId="0" borderId="1" xfId="0" applyNumberFormat="1" applyBorder="1"/>
    <xf numFmtId="0" fontId="0" fillId="0" borderId="7" xfId="0" applyBorder="1" applyAlignment="1"/>
    <xf numFmtId="0" fontId="0" fillId="2" borderId="1" xfId="0" applyNumberFormat="1" applyFill="1" applyBorder="1" applyProtection="1">
      <protection locked="0"/>
    </xf>
    <xf numFmtId="166" fontId="0" fillId="2" borderId="1" xfId="0" applyNumberFormat="1" applyFill="1" applyBorder="1" applyProtection="1">
      <protection locked="0"/>
    </xf>
    <xf numFmtId="0" fontId="0" fillId="0" borderId="1" xfId="0" applyBorder="1" applyAlignment="1">
      <alignment horizontal="left" wrapText="1"/>
    </xf>
    <xf numFmtId="0" fontId="0" fillId="0" borderId="7" xfId="0" applyBorder="1" applyAlignment="1">
      <alignment wrapText="1"/>
    </xf>
    <xf numFmtId="0" fontId="0" fillId="0" borderId="0" xfId="0" applyBorder="1" applyAlignment="1">
      <alignment wrapText="1"/>
    </xf>
    <xf numFmtId="0" fontId="0" fillId="0" borderId="0" xfId="0" applyAlignment="1">
      <alignment vertical="center"/>
    </xf>
    <xf numFmtId="2" fontId="0" fillId="0" borderId="0" xfId="0" applyNumberFormat="1"/>
    <xf numFmtId="0" fontId="0" fillId="0" borderId="1" xfId="0" applyFont="1" applyBorder="1"/>
    <xf numFmtId="2" fontId="0" fillId="3" borderId="1" xfId="0" applyNumberFormat="1" applyFill="1" applyBorder="1" applyAlignment="1" applyProtection="1">
      <alignment horizontal="right"/>
      <protection hidden="1"/>
    </xf>
    <xf numFmtId="0" fontId="0" fillId="0" borderId="9" xfId="0" applyBorder="1"/>
    <xf numFmtId="0" fontId="0" fillId="0" borderId="11" xfId="0" applyBorder="1"/>
    <xf numFmtId="166" fontId="7" fillId="0" borderId="0" xfId="2" applyNumberFormat="1" applyFill="1" applyBorder="1" applyAlignment="1">
      <alignment horizontal="right"/>
    </xf>
    <xf numFmtId="0" fontId="0" fillId="0" borderId="0" xfId="0" applyBorder="1" applyAlignment="1">
      <alignment horizontal="center"/>
    </xf>
    <xf numFmtId="0" fontId="0" fillId="0" borderId="0" xfId="0" applyAlignment="1">
      <alignment horizontal="right"/>
    </xf>
    <xf numFmtId="0" fontId="4" fillId="0" borderId="0" xfId="0" applyFont="1"/>
    <xf numFmtId="2" fontId="0" fillId="0" borderId="1" xfId="0" applyNumberFormat="1" applyFill="1" applyBorder="1" applyAlignment="1" applyProtection="1">
      <alignment horizontal="right"/>
    </xf>
    <xf numFmtId="0" fontId="0" fillId="0" borderId="1" xfId="0" applyFill="1" applyBorder="1" applyAlignment="1">
      <alignment wrapText="1"/>
    </xf>
    <xf numFmtId="0" fontId="0" fillId="0" borderId="0" xfId="0" applyAlignment="1">
      <alignment wrapText="1"/>
    </xf>
    <xf numFmtId="0" fontId="0" fillId="0" borderId="6" xfId="0" applyNumberFormat="1" applyFill="1" applyBorder="1" applyProtection="1">
      <protection locked="0"/>
    </xf>
    <xf numFmtId="0" fontId="0" fillId="0" borderId="0" xfId="0" applyNumberFormat="1" applyFill="1" applyBorder="1" applyProtection="1">
      <protection locked="0"/>
    </xf>
    <xf numFmtId="0" fontId="1" fillId="0" borderId="6" xfId="0" applyFont="1" applyFill="1" applyBorder="1"/>
    <xf numFmtId="0" fontId="1" fillId="0" borderId="0" xfId="0" applyFont="1" applyFill="1" applyBorder="1"/>
    <xf numFmtId="0" fontId="0" fillId="3" borderId="1" xfId="0" applyFill="1" applyBorder="1" applyAlignment="1">
      <alignment horizontal="center"/>
    </xf>
    <xf numFmtId="0" fontId="0" fillId="2" borderId="1" xfId="0" applyFill="1" applyBorder="1" applyAlignment="1" applyProtection="1">
      <alignment horizontal="right"/>
      <protection locked="0"/>
    </xf>
    <xf numFmtId="0" fontId="0" fillId="0" borderId="0" xfId="0" applyBorder="1" applyAlignment="1">
      <alignment horizontal="left"/>
    </xf>
    <xf numFmtId="0" fontId="0" fillId="0" borderId="1" xfId="0" applyFont="1" applyBorder="1" applyAlignment="1"/>
    <xf numFmtId="0" fontId="0" fillId="0" borderId="1" xfId="0" applyBorder="1" applyAlignment="1" applyProtection="1">
      <alignment horizontal="center" wrapText="1"/>
      <protection hidden="1"/>
    </xf>
    <xf numFmtId="166" fontId="7" fillId="4" borderId="8" xfId="2" applyNumberFormat="1" applyProtection="1">
      <protection hidden="1"/>
    </xf>
    <xf numFmtId="2" fontId="7" fillId="4" borderId="8" xfId="2" applyNumberFormat="1" applyProtection="1">
      <protection hidden="1"/>
    </xf>
    <xf numFmtId="166" fontId="7" fillId="4" borderId="8" xfId="2" applyNumberFormat="1" applyAlignment="1" applyProtection="1">
      <alignment horizontal="right"/>
      <protection hidden="1"/>
    </xf>
    <xf numFmtId="166" fontId="0" fillId="3" borderId="1" xfId="0" applyNumberFormat="1" applyFill="1" applyBorder="1" applyProtection="1"/>
    <xf numFmtId="0" fontId="6" fillId="0" borderId="1" xfId="0" applyFont="1" applyFill="1" applyBorder="1"/>
    <xf numFmtId="11" fontId="0" fillId="0" borderId="0" xfId="0" applyNumberFormat="1"/>
    <xf numFmtId="164" fontId="0" fillId="0" borderId="1" xfId="1" applyNumberFormat="1" applyFont="1" applyBorder="1"/>
    <xf numFmtId="0" fontId="0" fillId="0" borderId="1" xfId="0" applyBorder="1" applyAlignment="1">
      <alignment vertical="center" wrapText="1"/>
    </xf>
    <xf numFmtId="166" fontId="0" fillId="0" borderId="0" xfId="0" applyNumberFormat="1"/>
    <xf numFmtId="0" fontId="0" fillId="0" borderId="0" xfId="0" applyFont="1" applyBorder="1"/>
    <xf numFmtId="2" fontId="0" fillId="0" borderId="0" xfId="0" applyNumberFormat="1" applyAlignment="1">
      <alignment horizontal="right"/>
    </xf>
    <xf numFmtId="0" fontId="0" fillId="0" borderId="0" xfId="0" applyNumberFormat="1"/>
    <xf numFmtId="2" fontId="0" fillId="0" borderId="0" xfId="1" applyNumberFormat="1" applyFont="1" applyAlignment="1">
      <alignment horizontal="right"/>
    </xf>
    <xf numFmtId="167" fontId="0" fillId="0" borderId="0" xfId="0" applyNumberFormat="1" applyAlignment="1">
      <alignment horizontal="right"/>
    </xf>
    <xf numFmtId="2" fontId="0" fillId="0" borderId="1" xfId="0" applyNumberFormat="1" applyBorder="1" applyAlignment="1">
      <alignment horizontal="right"/>
    </xf>
    <xf numFmtId="165" fontId="0" fillId="0" borderId="1" xfId="0" applyNumberFormat="1" applyBorder="1" applyAlignment="1">
      <alignment horizontal="right"/>
    </xf>
    <xf numFmtId="0" fontId="0" fillId="0" borderId="1" xfId="0" applyFill="1" applyBorder="1" applyAlignment="1" applyProtection="1">
      <alignment horizontal="center" wrapText="1"/>
      <protection hidden="1"/>
    </xf>
    <xf numFmtId="2" fontId="0" fillId="0" borderId="0" xfId="0" applyNumberFormat="1" applyFill="1" applyBorder="1" applyProtection="1">
      <protection locked="0"/>
    </xf>
    <xf numFmtId="166" fontId="0" fillId="0" borderId="1" xfId="0" applyNumberFormat="1" applyFill="1" applyBorder="1"/>
    <xf numFmtId="0" fontId="0" fillId="0" borderId="0" xfId="0" applyFill="1" applyBorder="1" applyAlignment="1">
      <alignment wrapText="1"/>
    </xf>
    <xf numFmtId="166" fontId="7" fillId="4" borderId="10" xfId="2" applyNumberFormat="1" applyBorder="1" applyAlignment="1" applyProtection="1">
      <alignment horizontal="right"/>
      <protection hidden="1"/>
    </xf>
    <xf numFmtId="166" fontId="0" fillId="3" borderId="1" xfId="0" applyNumberFormat="1" applyFill="1" applyBorder="1" applyAlignment="1" applyProtection="1">
      <alignment horizontal="right"/>
      <protection hidden="1"/>
    </xf>
    <xf numFmtId="0" fontId="0" fillId="0" borderId="2" xfId="0" applyBorder="1"/>
    <xf numFmtId="166" fontId="0" fillId="0" borderId="2" xfId="0" applyNumberFormat="1" applyBorder="1"/>
    <xf numFmtId="165" fontId="7" fillId="4" borderId="1" xfId="2" applyNumberFormat="1" applyBorder="1" applyAlignment="1" applyProtection="1">
      <alignment horizontal="right"/>
      <protection hidden="1"/>
    </xf>
    <xf numFmtId="2" fontId="0" fillId="0" borderId="1" xfId="0" applyNumberFormat="1" applyBorder="1"/>
    <xf numFmtId="0" fontId="0" fillId="5" borderId="0" xfId="0" applyFill="1"/>
    <xf numFmtId="168" fontId="0" fillId="0" borderId="1" xfId="0" applyNumberFormat="1" applyFill="1" applyBorder="1"/>
    <xf numFmtId="2" fontId="0" fillId="0" borderId="12" xfId="1" applyNumberFormat="1" applyFont="1" applyFill="1" applyBorder="1"/>
    <xf numFmtId="0" fontId="0" fillId="0" borderId="1" xfId="0" applyFill="1" applyBorder="1" applyAlignment="1"/>
    <xf numFmtId="2" fontId="0" fillId="0" borderId="7" xfId="0" applyNumberFormat="1" applyBorder="1" applyAlignment="1">
      <alignment horizontal="right"/>
    </xf>
    <xf numFmtId="9" fontId="0" fillId="0" borderId="0" xfId="1" applyFont="1" applyBorder="1" applyAlignment="1" applyProtection="1">
      <alignment horizontal="center"/>
      <protection hidden="1"/>
    </xf>
    <xf numFmtId="0" fontId="0" fillId="0" borderId="2" xfId="0" applyFill="1" applyBorder="1"/>
    <xf numFmtId="0" fontId="6" fillId="0" borderId="2" xfId="0" applyFont="1" applyFill="1" applyBorder="1"/>
    <xf numFmtId="10" fontId="0" fillId="0" borderId="1" xfId="1" applyNumberFormat="1" applyFont="1" applyFill="1" applyBorder="1"/>
    <xf numFmtId="169" fontId="0" fillId="0" borderId="0" xfId="0" applyNumberFormat="1"/>
    <xf numFmtId="2" fontId="7" fillId="4" borderId="8" xfId="2" applyNumberFormat="1" applyAlignment="1" applyProtection="1">
      <alignment horizontal="right"/>
      <protection hidden="1"/>
    </xf>
    <xf numFmtId="1" fontId="0" fillId="3" borderId="1" xfId="0" applyNumberFormat="1" applyFill="1" applyBorder="1" applyAlignment="1" applyProtection="1">
      <alignment horizontal="right"/>
      <protection hidden="1"/>
    </xf>
    <xf numFmtId="0" fontId="0" fillId="0" borderId="0" xfId="0" applyFont="1"/>
    <xf numFmtId="166" fontId="7" fillId="4" borderId="8" xfId="2" applyNumberFormat="1"/>
    <xf numFmtId="166" fontId="7" fillId="4" borderId="1" xfId="2" applyNumberFormat="1" applyBorder="1"/>
    <xf numFmtId="0" fontId="7" fillId="4" borderId="1" xfId="2" applyBorder="1"/>
    <xf numFmtId="0" fontId="0" fillId="0" borderId="1" xfId="0" applyFont="1" applyFill="1" applyBorder="1"/>
    <xf numFmtId="166" fontId="7" fillId="4" borderId="1" xfId="2" applyNumberFormat="1" applyBorder="1" applyProtection="1">
      <protection hidden="1"/>
    </xf>
    <xf numFmtId="166" fontId="7" fillId="4" borderId="1" xfId="2" applyNumberFormat="1" applyBorder="1" applyAlignment="1" applyProtection="1">
      <alignment horizontal="right"/>
      <protection hidden="1"/>
    </xf>
    <xf numFmtId="11" fontId="7" fillId="4" borderId="1" xfId="2" applyNumberFormat="1" applyBorder="1"/>
    <xf numFmtId="0" fontId="0" fillId="2" borderId="1" xfId="0" applyFont="1" applyFill="1" applyBorder="1" applyProtection="1">
      <protection locked="0"/>
    </xf>
    <xf numFmtId="0" fontId="0" fillId="0" borderId="2" xfId="0" applyBorder="1" applyAlignment="1">
      <alignment horizontal="left" vertical="center" wrapText="1" indent="2"/>
    </xf>
    <xf numFmtId="0" fontId="0" fillId="0" borderId="4" xfId="0" applyBorder="1" applyAlignment="1">
      <alignment horizontal="left" vertical="center" wrapText="1" indent="2"/>
    </xf>
    <xf numFmtId="0" fontId="0" fillId="0" borderId="1" xfId="0" applyBorder="1" applyAlignment="1">
      <alignment horizontal="left" wrapText="1" indent="2"/>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indent="2"/>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0" xfId="0" applyBorder="1" applyAlignment="1">
      <alignment horizontal="center"/>
    </xf>
    <xf numFmtId="9" fontId="0" fillId="0" borderId="0" xfId="1" applyFont="1" applyBorder="1" applyAlignment="1">
      <alignment horizontal="center"/>
    </xf>
    <xf numFmtId="0" fontId="0" fillId="0" borderId="1" xfId="0" applyBorder="1" applyAlignment="1">
      <alignment horizontal="left"/>
    </xf>
    <xf numFmtId="9" fontId="0" fillId="0" borderId="5" xfId="1" applyFont="1" applyBorder="1" applyAlignment="1" applyProtection="1">
      <alignment horizontal="center"/>
      <protection hidden="1"/>
    </xf>
    <xf numFmtId="9" fontId="0" fillId="0" borderId="0" xfId="1" applyFont="1" applyBorder="1" applyAlignment="1" applyProtection="1">
      <alignment horizontal="center"/>
      <protection hidden="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66" fontId="0" fillId="0" borderId="1" xfId="0" applyNumberFormat="1" applyBorder="1" applyAlignment="1" applyProtection="1">
      <alignment horizontal="center"/>
      <protection hidden="1"/>
    </xf>
    <xf numFmtId="0" fontId="0" fillId="0" borderId="2" xfId="0" applyFill="1" applyBorder="1" applyAlignment="1">
      <alignment horizontal="left"/>
    </xf>
    <xf numFmtId="0" fontId="0" fillId="0" borderId="4" xfId="0" applyFill="1" applyBorder="1" applyAlignment="1">
      <alignment horizontal="left"/>
    </xf>
    <xf numFmtId="0" fontId="0" fillId="0" borderId="3" xfId="0" applyFill="1" applyBorder="1" applyAlignment="1">
      <alignment horizontal="left"/>
    </xf>
    <xf numFmtId="0" fontId="0" fillId="0" borderId="1" xfId="0" applyBorder="1" applyAlignment="1" applyProtection="1">
      <alignment horizontal="center"/>
      <protection hidden="1"/>
    </xf>
    <xf numFmtId="0" fontId="0" fillId="0" borderId="1" xfId="0" applyBorder="1" applyAlignment="1">
      <alignment horizontal="left" vertical="center" wrapText="1"/>
    </xf>
    <xf numFmtId="166" fontId="0" fillId="0" borderId="0" xfId="0" applyNumberFormat="1" applyFill="1" applyBorder="1"/>
  </cellXfs>
  <cellStyles count="3">
    <cellStyle name="Calculation" xfId="2" builtinId="22"/>
    <cellStyle name="Normal" xfId="0" builtinId="0"/>
    <cellStyle name="Percent" xfId="1" builtinId="5"/>
  </cellStyles>
  <dxfs count="35">
    <dxf>
      <font>
        <b/>
        <i val="0"/>
        <strike val="0"/>
        <color rgb="FFC00000"/>
      </font>
    </dxf>
    <dxf>
      <font>
        <b/>
        <i val="0"/>
      </font>
      <fill>
        <patternFill>
          <bgColor rgb="FFFFC7CE"/>
        </patternFill>
      </fill>
    </dxf>
    <dxf>
      <font>
        <b/>
        <i val="0"/>
      </font>
      <fill>
        <patternFill>
          <bgColor rgb="FFFFC7CE"/>
        </patternFill>
      </fill>
    </dxf>
    <dxf>
      <font>
        <b/>
        <i val="0"/>
        <color rgb="FF9C0006"/>
      </font>
      <fill>
        <patternFill>
          <bgColor rgb="FFFFC7CE"/>
        </patternFill>
      </fill>
    </dxf>
    <dxf>
      <font>
        <b/>
        <i val="0"/>
      </font>
      <fill>
        <patternFill>
          <bgColor rgb="FFFFC7CE"/>
        </patternFill>
      </fill>
    </dxf>
    <dxf>
      <font>
        <b/>
        <i val="0"/>
      </font>
      <fill>
        <patternFill>
          <bgColor rgb="FFFFC7CE"/>
        </patternFill>
      </fill>
    </dxf>
    <dxf>
      <font>
        <color theme="0"/>
      </font>
      <fill>
        <patternFill>
          <bgColor theme="0"/>
        </patternFill>
      </fill>
      <border>
        <left/>
        <right/>
        <top/>
        <bottom/>
      </border>
    </dxf>
    <dxf>
      <font>
        <b/>
        <i val="0"/>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color theme="0"/>
      </font>
      <fill>
        <patternFill>
          <bgColor theme="0"/>
        </patternFill>
      </fill>
      <border>
        <left/>
        <right/>
        <top/>
        <bottom/>
      </border>
    </dxf>
    <dxf>
      <font>
        <color theme="0"/>
      </font>
      <fill>
        <patternFill>
          <bgColor theme="0"/>
        </patternFill>
      </fill>
      <border>
        <left/>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7CE"/>
      <color rgb="FFDE00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svg"/><Relationship Id="rId13" Type="http://schemas.openxmlformats.org/officeDocument/2006/relationships/image" Target="../media/image12.png"/><Relationship Id="rId3" Type="http://schemas.openxmlformats.org/officeDocument/2006/relationships/image" Target="../media/image3.jp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hyperlink" Target="https://www.ti.com/legal/copyright.html" TargetMode="External"/><Relationship Id="rId9" Type="http://schemas.openxmlformats.org/officeDocument/2006/relationships/image" Target="../media/image8.png"/><Relationship Id="rId14" Type="http://schemas.openxmlformats.org/officeDocument/2006/relationships/image" Target="../media/image13.sv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9</xdr:col>
      <xdr:colOff>444500</xdr:colOff>
      <xdr:row>17</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187325"/>
          <a:ext cx="5702300" cy="267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Release</a:t>
          </a:r>
          <a:r>
            <a:rPr lang="en-US" sz="1100" baseline="0"/>
            <a:t> Date:  March 2025</a:t>
          </a:r>
        </a:p>
        <a:p>
          <a:r>
            <a:rPr lang="en-US" sz="1100" baseline="0"/>
            <a:t>Release: 1.25</a:t>
          </a:r>
        </a:p>
        <a:p>
          <a:r>
            <a:rPr lang="en-US" sz="1100" baseline="0"/>
            <a:t>Description:</a:t>
          </a:r>
        </a:p>
        <a:p>
          <a:r>
            <a:rPr lang="en-US" sz="1100" baseline="0"/>
            <a:t>This worksheet is to be used for informational purposes only. It may be used as an intial design guideline only.</a:t>
          </a:r>
        </a:p>
        <a:p>
          <a:endParaRPr lang="en-US" sz="1100" baseline="0"/>
        </a:p>
        <a:p>
          <a:r>
            <a:rPr lang="en-US" sz="1100" baseline="0"/>
            <a:t>This calculator may be used to estimate the power transfer and associated startup time and maximum switching frequency possible of the TPSI305x family of devices based on user inputs. </a:t>
          </a:r>
        </a:p>
        <a:p>
          <a:endParaRPr lang="en-US" sz="1100" baseline="0"/>
        </a:p>
        <a:p>
          <a:r>
            <a:rPr lang="en-US" sz="1100" baseline="0"/>
            <a:t>Using the "USER INPUT" worskheet, provide required user inputs in the yellow boxes. Detailed step by step instructions and definitions are provided in the worksheet.</a:t>
          </a:r>
        </a:p>
        <a:p>
          <a:endParaRPr lang="en-US" sz="1100" baseline="0"/>
        </a:p>
        <a:p>
          <a:r>
            <a:rPr lang="en-US" sz="1100" baseline="0"/>
            <a:t>Results are computed based on user inputs and summarized in the "POWER TRANSFER" worksheet.</a:t>
          </a:r>
        </a:p>
        <a:p>
          <a:endParaRPr lang="en-US" sz="1100" baseline="0"/>
        </a:p>
        <a:p>
          <a:endParaRPr lang="en-US" sz="1100"/>
        </a:p>
      </xdr:txBody>
    </xdr:sp>
    <xdr:clientData/>
  </xdr:twoCellAnchor>
  <xdr:twoCellAnchor>
    <xdr:from>
      <xdr:col>0</xdr:col>
      <xdr:colOff>111125</xdr:colOff>
      <xdr:row>19</xdr:row>
      <xdr:rowOff>9525</xdr:rowOff>
    </xdr:from>
    <xdr:to>
      <xdr:col>7</xdr:col>
      <xdr:colOff>437872</xdr:colOff>
      <xdr:row>23</xdr:row>
      <xdr:rowOff>158750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111125" y="3086100"/>
          <a:ext cx="4593947" cy="796925"/>
          <a:chOff x="203200" y="3409950"/>
          <a:chExt cx="4593947" cy="781050"/>
        </a:xfrm>
      </xdr:grpSpPr>
      <xdr:pic>
        <xdr:nvPicPr>
          <xdr:cNvPr id="3" name="Picture 2" descr="ti_logo_powerpoint_1_lin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9</xdr:col>
      <xdr:colOff>514349</xdr:colOff>
      <xdr:row>1</xdr:row>
      <xdr:rowOff>19050</xdr:rowOff>
    </xdr:from>
    <xdr:to>
      <xdr:col>19</xdr:col>
      <xdr:colOff>200024</xdr:colOff>
      <xdr:row>26</xdr:row>
      <xdr:rowOff>114300</xdr:rowOff>
    </xdr:to>
    <xdr:sp macro="" textlink="">
      <xdr:nvSpPr>
        <xdr:cNvPr id="4" name="TextBox 3">
          <a:extLst>
            <a:ext uri="{FF2B5EF4-FFF2-40B4-BE49-F238E27FC236}">
              <a16:creationId xmlns:a16="http://schemas.microsoft.com/office/drawing/2014/main" id="{D9797C22-C1A9-4DDD-955E-2B97F34C32D5}"/>
            </a:ext>
          </a:extLst>
        </xdr:cNvPr>
        <xdr:cNvSpPr txBox="1"/>
      </xdr:nvSpPr>
      <xdr:spPr>
        <a:xfrm>
          <a:off x="6000749" y="180975"/>
          <a:ext cx="5781675" cy="414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IMPORTANT NOTICE AND DISCLAIMER</a:t>
          </a:r>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a:t>
          </a:r>
        </a:p>
        <a:p>
          <a:r>
            <a:rPr lang="en-US" sz="1100" b="0" i="0" u="none" strike="noStrike" baseline="0">
              <a:solidFill>
                <a:schemeClr val="dk1"/>
              </a:solidFill>
              <a:latin typeface="+mn-lt"/>
              <a:ea typeface="+mn-ea"/>
              <a:cs typeface="+mn-cs"/>
            </a:rPr>
            <a: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a:t>
          </a:r>
        </a:p>
        <a:p>
          <a:r>
            <a:rPr lang="en-US" sz="1100" b="0" i="0" u="none" strike="noStrike" baseline="0">
              <a:solidFill>
                <a:schemeClr val="dk1"/>
              </a:solidFill>
              <a:latin typeface="+mn-lt"/>
              <a:ea typeface="+mn-ea"/>
              <a:cs typeface="+mn-cs"/>
            </a:rPr>
            <a:t>TI’s products are provided subject to TI’s Terms of Sale () or other applicable terms available either on ti.com or provided in conjunction with such TI products. TI’s provision of these resources does not expand or otherwise alter TI’s applicable warranties or warranty disclaimers for TI products.IMPORTANT NOTICE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5</xdr:row>
      <xdr:rowOff>38101</xdr:rowOff>
    </xdr:from>
    <xdr:to>
      <xdr:col>35</xdr:col>
      <xdr:colOff>600075</xdr:colOff>
      <xdr:row>7</xdr:row>
      <xdr:rowOff>361951</xdr:rowOff>
    </xdr:to>
    <xdr:sp macro="" textlink="">
      <xdr:nvSpPr>
        <xdr:cNvPr id="23" name="Rectangle 22">
          <a:extLst>
            <a:ext uri="{FF2B5EF4-FFF2-40B4-BE49-F238E27FC236}">
              <a16:creationId xmlns:a16="http://schemas.microsoft.com/office/drawing/2014/main" id="{691BFE85-B6E9-4A00-9591-59B45D2BE618}"/>
            </a:ext>
          </a:extLst>
        </xdr:cNvPr>
        <xdr:cNvSpPr/>
      </xdr:nvSpPr>
      <xdr:spPr>
        <a:xfrm>
          <a:off x="8591550" y="847726"/>
          <a:ext cx="4838700" cy="10287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79</xdr:row>
      <xdr:rowOff>48973</xdr:rowOff>
    </xdr:from>
    <xdr:to>
      <xdr:col>3</xdr:col>
      <xdr:colOff>1543050</xdr:colOff>
      <xdr:row>83</xdr:row>
      <xdr:rowOff>155574</xdr:rowOff>
    </xdr:to>
    <xdr:grpSp>
      <xdr:nvGrpSpPr>
        <xdr:cNvPr id="2" name="Group 1">
          <a:extLst>
            <a:ext uri="{FF2B5EF4-FFF2-40B4-BE49-F238E27FC236}">
              <a16:creationId xmlns:a16="http://schemas.microsoft.com/office/drawing/2014/main" id="{00000000-0008-0000-0100-000002000000}"/>
            </a:ext>
          </a:extLst>
        </xdr:cNvPr>
        <xdr:cNvGrpSpPr>
          <a:grpSpLocks noChangeAspect="1"/>
        </xdr:cNvGrpSpPr>
      </xdr:nvGrpSpPr>
      <xdr:grpSpPr>
        <a:xfrm>
          <a:off x="0" y="15308023"/>
          <a:ext cx="4391025" cy="754301"/>
          <a:chOff x="203200" y="3409950"/>
          <a:chExt cx="4593947" cy="781050"/>
        </a:xfrm>
      </xdr:grpSpPr>
      <xdr:pic>
        <xdr:nvPicPr>
          <xdr:cNvPr id="3" name="Picture 2" descr="ti_logo_powerpoint_1_line.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4</xdr:col>
      <xdr:colOff>0</xdr:colOff>
      <xdr:row>12</xdr:row>
      <xdr:rowOff>518677</xdr:rowOff>
    </xdr:from>
    <xdr:to>
      <xdr:col>43</xdr:col>
      <xdr:colOff>9525</xdr:colOff>
      <xdr:row>100</xdr:row>
      <xdr:rowOff>142874</xdr:rowOff>
    </xdr:to>
    <xdr:sp macro="" textlink="">
      <xdr:nvSpPr>
        <xdr:cNvPr id="6" name="TextBox 5">
          <a:extLst>
            <a:ext uri="{FF2B5EF4-FFF2-40B4-BE49-F238E27FC236}">
              <a16:creationId xmlns:a16="http://schemas.microsoft.com/office/drawing/2014/main" id="{3BD18CD8-0AD6-4C2C-B869-6C33496AAA82}"/>
            </a:ext>
          </a:extLst>
        </xdr:cNvPr>
        <xdr:cNvSpPr txBox="1"/>
      </xdr:nvSpPr>
      <xdr:spPr>
        <a:xfrm>
          <a:off x="8562975" y="3757177"/>
          <a:ext cx="9153525" cy="17835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baseline="0"/>
            <a:t>Calculator Usage Steps</a:t>
          </a:r>
        </a:p>
        <a:p>
          <a:endParaRPr lang="en-US" sz="1100" b="1" baseline="0"/>
        </a:p>
        <a:p>
          <a:r>
            <a:rPr lang="en-US" sz="1600" b="1" baseline="0"/>
            <a:t>Step 1: </a:t>
          </a:r>
        </a:p>
        <a:p>
          <a:r>
            <a:rPr lang="en-US" sz="1100" b="1" baseline="0">
              <a:solidFill>
                <a:schemeClr val="dk1"/>
              </a:solidFill>
              <a:effectLst/>
              <a:latin typeface="+mn-lt"/>
              <a:ea typeface="+mn-ea"/>
              <a:cs typeface="+mn-cs"/>
            </a:rPr>
            <a:t>1a: Select the TPSI305x device type.</a:t>
          </a:r>
          <a:endParaRPr lang="en-US">
            <a:effectLst/>
          </a:endParaRPr>
        </a:p>
        <a:p>
          <a:r>
            <a:rPr lang="en-US" sz="1100" b="1" baseline="0"/>
            <a:t>1b: Select the external switch type.</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Select "F" for driving FETs or IGBTs.</a:t>
          </a:r>
          <a:endParaRPr lang="en-US" sz="1100" b="0" baseline="0"/>
        </a:p>
        <a:p>
          <a:r>
            <a:rPr lang="en-US" sz="1100" b="0" baseline="0"/>
            <a:t>Select "S" for driving SCRs or TRIACS. </a:t>
          </a:r>
        </a:p>
        <a:p>
          <a:r>
            <a:rPr lang="en-US" sz="1100" b="1" baseline="0">
              <a:solidFill>
                <a:schemeClr val="dk1"/>
              </a:solidFill>
              <a:effectLst/>
              <a:latin typeface="+mn-lt"/>
              <a:ea typeface="+mn-ea"/>
              <a:cs typeface="+mn-cs"/>
            </a:rPr>
            <a:t>1c: Select the operating mode of the device.</a:t>
          </a:r>
          <a:endParaRPr lang="en-US">
            <a:effectLst/>
          </a:endParaRPr>
        </a:p>
        <a:p>
          <a:r>
            <a:rPr lang="en-US" sz="1100" b="0" baseline="0">
              <a:solidFill>
                <a:schemeClr val="dk1"/>
              </a:solidFill>
              <a:effectLst/>
              <a:latin typeface="+mn-lt"/>
              <a:ea typeface="+mn-ea"/>
              <a:cs typeface="+mn-cs"/>
            </a:rPr>
            <a:t>Select "2" for two-wire mode. </a:t>
          </a:r>
          <a:endParaRPr lang="en-US">
            <a:effectLst/>
          </a:endParaRPr>
        </a:p>
        <a:p>
          <a:r>
            <a:rPr lang="en-US" sz="1100" b="0" baseline="0">
              <a:solidFill>
                <a:schemeClr val="dk1"/>
              </a:solidFill>
              <a:effectLst/>
              <a:latin typeface="+mn-lt"/>
              <a:ea typeface="+mn-ea"/>
              <a:cs typeface="+mn-cs"/>
            </a:rPr>
            <a:t>Select "3" for three-wire mode. S-version devices only supported in three-wire mode.</a:t>
          </a:r>
        </a:p>
        <a:p>
          <a:r>
            <a:rPr lang="en-US" sz="1100" b="1" baseline="0">
              <a:solidFill>
                <a:schemeClr val="dk1"/>
              </a:solidFill>
              <a:effectLst/>
              <a:latin typeface="+mn-lt"/>
              <a:ea typeface="+mn-ea"/>
              <a:cs typeface="+mn-cs"/>
            </a:rPr>
            <a:t>1d: Enter ambient temperature.</a:t>
          </a:r>
        </a:p>
        <a:p>
          <a:r>
            <a:rPr lang="en-US" sz="1100" b="1" baseline="0"/>
            <a:t>1e: Enter C</a:t>
          </a:r>
          <a:r>
            <a:rPr lang="en-US" sz="1100" b="1" baseline="-25000"/>
            <a:t>IN</a:t>
          </a:r>
          <a:r>
            <a:rPr lang="en-US" sz="1100" b="1" baseline="0"/>
            <a:t>, the capacitance that resides from VDDP to VSSP.</a:t>
          </a:r>
        </a:p>
        <a:p>
          <a:r>
            <a:rPr lang="en-US" sz="1100" b="0" baseline="0"/>
            <a:t>In two-wire mode, 220nF is recommended. </a:t>
          </a:r>
        </a:p>
        <a:p>
          <a:r>
            <a:rPr lang="en-US" sz="1100" b="0" baseline="0"/>
            <a:t>In three-wire mode, additional capacitance should be applied, but does not effect any calculation results.</a:t>
          </a: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1f: Enter VDDP.</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For two-wire mode, this entry is a do not care.</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For three-wire mode, valid ranges are from 3.0 V to 5.5 V.</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1g: Select desired R</a:t>
          </a:r>
          <a:r>
            <a:rPr lang="en-US" sz="1100" b="1" baseline="-25000">
              <a:solidFill>
                <a:schemeClr val="dk1"/>
              </a:solidFill>
              <a:effectLst/>
              <a:latin typeface="+mn-lt"/>
              <a:ea typeface="+mn-ea"/>
              <a:cs typeface="+mn-cs"/>
            </a:rPr>
            <a:t>PXFR</a:t>
          </a:r>
          <a:r>
            <a:rPr lang="en-US" sz="1100" b="1" baseline="0">
              <a:solidFill>
                <a:schemeClr val="dk1"/>
              </a:solidFill>
              <a:effectLst/>
              <a:latin typeface="+mn-lt"/>
              <a:ea typeface="+mn-ea"/>
              <a:cs typeface="+mn-cs"/>
            </a:rPr>
            <a:t> setting.</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Higher R</a:t>
          </a:r>
          <a:r>
            <a:rPr lang="en-US" sz="1100" b="0" baseline="-25000">
              <a:solidFill>
                <a:schemeClr val="dk1"/>
              </a:solidFill>
              <a:effectLst/>
              <a:latin typeface="+mn-lt"/>
              <a:ea typeface="+mn-ea"/>
              <a:cs typeface="+mn-cs"/>
            </a:rPr>
            <a:t>PXFR</a:t>
          </a:r>
          <a:r>
            <a:rPr lang="en-US" sz="1100" b="0" baseline="0">
              <a:solidFill>
                <a:schemeClr val="dk1"/>
              </a:solidFill>
              <a:effectLst/>
              <a:latin typeface="+mn-lt"/>
              <a:ea typeface="+mn-ea"/>
              <a:cs typeface="+mn-cs"/>
            </a:rPr>
            <a:t> settings leads to higher power transfer with a tradeoff of higher power consumption.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1h: Enter I</a:t>
          </a:r>
          <a:r>
            <a:rPr lang="en-US" sz="1100" b="1" baseline="-25000">
              <a:solidFill>
                <a:schemeClr val="dk1"/>
              </a:solidFill>
              <a:effectLst/>
              <a:latin typeface="+mn-lt"/>
              <a:ea typeface="+mn-ea"/>
              <a:cs typeface="+mn-cs"/>
            </a:rPr>
            <a:t>AUX</a:t>
          </a:r>
          <a:r>
            <a:rPr lang="en-US" sz="1100" b="1" baseline="0">
              <a:solidFill>
                <a:schemeClr val="dk1"/>
              </a:solidFill>
              <a:effectLst/>
              <a:latin typeface="+mn-lt"/>
              <a:ea typeface="+mn-ea"/>
              <a:cs typeface="+mn-cs"/>
            </a:rPr>
            <a:t>.</a:t>
          </a:r>
          <a:endParaRPr lang="en-US">
            <a:effectLst/>
          </a:endParaRPr>
        </a:p>
        <a:p>
          <a:r>
            <a:rPr lang="en-US" sz="1100" baseline="0"/>
            <a:t>I</a:t>
          </a:r>
          <a:r>
            <a:rPr lang="en-US" sz="1100" baseline="-25000"/>
            <a:t>AUX</a:t>
          </a:r>
          <a:r>
            <a:rPr lang="en-US" sz="1100" baseline="0"/>
            <a:t> is the average current required to supply power to external circuitry connected to the VDDM rail. If no auxiliary power is required from VDDM, set to 0.00 mA.  The amount of I</a:t>
          </a:r>
          <a:r>
            <a:rPr lang="en-US" sz="1100" baseline="-25000"/>
            <a:t>AUX</a:t>
          </a:r>
          <a:r>
            <a:rPr lang="en-US" sz="1100" baseline="0"/>
            <a:t> current available depends on the amount of power transferred which is also dependent on the operating mode selected, so it is therefore limited. </a:t>
          </a: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1i: Enter fEN.</a:t>
          </a:r>
          <a:endParaRPr lang="en-US">
            <a:effectLst/>
          </a:endParaRPr>
        </a:p>
        <a:p>
          <a:r>
            <a:rPr lang="en-US" sz="1100" baseline="0"/>
            <a:t>Enter switching frequency of the enable signal. </a:t>
          </a:r>
        </a:p>
        <a:p>
          <a:endParaRPr lang="en-US" sz="1100" baseline="0"/>
        </a:p>
        <a:p>
          <a:endParaRPr lang="en-US" sz="1100" baseline="0"/>
        </a:p>
        <a:p>
          <a:r>
            <a:rPr lang="en-US" sz="1600" b="1" baseline="0"/>
            <a:t>Step2: </a:t>
          </a:r>
        </a:p>
        <a:p>
          <a:endParaRPr lang="en-US" sz="1100" baseline="0"/>
        </a:p>
        <a:p>
          <a:r>
            <a:rPr lang="en-US" sz="1600" i="1" baseline="0"/>
            <a:t>If switch type selected in 1b is SCR, TRIAC:</a:t>
          </a:r>
        </a:p>
        <a:p>
          <a:r>
            <a:rPr lang="en-US" sz="1100" b="1" baseline="0">
              <a:solidFill>
                <a:schemeClr val="dk1"/>
              </a:solidFill>
              <a:effectLst/>
              <a:latin typeface="+mn-lt"/>
              <a:ea typeface="+mn-ea"/>
              <a:cs typeface="+mn-cs"/>
            </a:rPr>
            <a:t>2a: Trigger gate voltage, V</a:t>
          </a:r>
          <a:r>
            <a:rPr lang="en-US" sz="1100" b="1" baseline="-25000">
              <a:solidFill>
                <a:schemeClr val="dk1"/>
              </a:solidFill>
              <a:effectLst/>
              <a:latin typeface="+mn-lt"/>
              <a:ea typeface="+mn-ea"/>
              <a:cs typeface="+mn-cs"/>
            </a:rPr>
            <a:t>GT</a:t>
          </a:r>
          <a:r>
            <a:rPr lang="en-US" sz="1100" b="1"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Enter trigger gate current required to fire the SCR/TRIAC.</a:t>
          </a:r>
        </a:p>
        <a:p>
          <a:r>
            <a:rPr lang="en-US" sz="1100" b="1" baseline="0">
              <a:solidFill>
                <a:schemeClr val="dk1"/>
              </a:solidFill>
              <a:effectLst/>
              <a:latin typeface="+mn-lt"/>
              <a:ea typeface="+mn-ea"/>
              <a:cs typeface="+mn-cs"/>
            </a:rPr>
            <a:t>2b: External gate resistance to limit trigger current.</a:t>
          </a:r>
          <a:endParaRPr lang="en-US">
            <a:effectLst/>
          </a:endParaRPr>
        </a:p>
        <a:p>
          <a:r>
            <a:rPr lang="en-US" sz="1100" baseline="0">
              <a:solidFill>
                <a:schemeClr val="dk1"/>
              </a:solidFill>
              <a:effectLst/>
              <a:latin typeface="+mn-lt"/>
              <a:ea typeface="+mn-ea"/>
              <a:cs typeface="+mn-cs"/>
            </a:rPr>
            <a:t>This external resistance sets the current to be used to provide the trigger current.</a:t>
          </a:r>
          <a:endParaRPr lang="en-US" sz="1100" i="1" baseline="0"/>
        </a:p>
        <a:p>
          <a:r>
            <a:rPr lang="en-US" sz="1100" b="1" baseline="0"/>
            <a:t>2c: Enter trigger current, I</a:t>
          </a:r>
          <a:r>
            <a:rPr lang="en-US" sz="1100" b="1" baseline="-25000"/>
            <a:t>GT</a:t>
          </a:r>
          <a:r>
            <a:rPr lang="en-US" sz="1100" b="1" baseline="0"/>
            <a:t>.</a:t>
          </a:r>
        </a:p>
        <a:p>
          <a:r>
            <a:rPr lang="en-US" sz="1100" baseline="0"/>
            <a:t>Enter trigger gate current required to fire the SCR/TRIAC.</a:t>
          </a:r>
        </a:p>
        <a:p>
          <a:r>
            <a:rPr lang="en-US" sz="1100" b="1" baseline="0"/>
            <a:t>2d: Enter turn-on time, tGT.</a:t>
          </a:r>
        </a:p>
        <a:p>
          <a:r>
            <a:rPr lang="en-US" sz="1100" baseline="0"/>
            <a:t>Enter required turn-on time for the SCR/TRIAC. For S-versions, must be 2.5us or less.</a:t>
          </a:r>
        </a:p>
        <a:p>
          <a:pPr eaLnBrk="1" fontAlgn="auto" latinLnBrk="0" hangingPunct="1"/>
          <a:r>
            <a:rPr lang="en-US" sz="1100" b="1" baseline="0">
              <a:solidFill>
                <a:schemeClr val="dk1"/>
              </a:solidFill>
              <a:effectLst/>
              <a:latin typeface="+mn-lt"/>
              <a:ea typeface="+mn-ea"/>
              <a:cs typeface="+mn-cs"/>
            </a:rPr>
            <a:t>2e: Enter n.</a:t>
          </a:r>
          <a:endParaRPr lang="en-US">
            <a:effectLst/>
          </a:endParaRPr>
        </a:p>
        <a:p>
          <a:pPr eaLnBrk="1" fontAlgn="auto" latinLnBrk="0" hangingPunct="1"/>
          <a:r>
            <a:rPr lang="en-US" sz="1100">
              <a:solidFill>
                <a:schemeClr val="dk1"/>
              </a:solidFill>
              <a:effectLst/>
              <a:latin typeface="+mn-lt"/>
              <a:ea typeface="+mn-ea"/>
              <a:cs typeface="+mn-cs"/>
            </a:rPr>
            <a:t>n: Enter desired</a:t>
          </a:r>
          <a:r>
            <a:rPr lang="en-US" sz="1100" baseline="0">
              <a:solidFill>
                <a:schemeClr val="dk1"/>
              </a:solidFill>
              <a:effectLst/>
              <a:latin typeface="+mn-lt"/>
              <a:ea typeface="+mn-ea"/>
              <a:cs typeface="+mn-cs"/>
            </a:rPr>
            <a:t> ratio of C</a:t>
          </a:r>
          <a:r>
            <a:rPr lang="en-US" sz="1100" baseline="-25000">
              <a:solidFill>
                <a:schemeClr val="dk1"/>
              </a:solidFill>
              <a:effectLst/>
              <a:latin typeface="+mn-lt"/>
              <a:ea typeface="+mn-ea"/>
              <a:cs typeface="+mn-cs"/>
            </a:rPr>
            <a:t>DIV2 </a:t>
          </a:r>
          <a:r>
            <a:rPr lang="en-US" sz="1100" baseline="0">
              <a:solidFill>
                <a:schemeClr val="dk1"/>
              </a:solidFill>
              <a:effectLst/>
              <a:latin typeface="+mn-lt"/>
              <a:ea typeface="+mn-ea"/>
              <a:cs typeface="+mn-cs"/>
            </a:rPr>
            <a:t>and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inputs. The calculator will check for proper minimum ratio of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If minimum ratio is not met an error message will be displayed.</a:t>
          </a:r>
          <a:endParaRPr lang="en-US" sz="1100" baseline="0"/>
        </a:p>
        <a:p>
          <a:r>
            <a:rPr lang="en-US" sz="1100" b="1" baseline="0"/>
            <a:t>2f: Enter VDDH droop, VDDHdroop.</a:t>
          </a:r>
        </a:p>
        <a:p>
          <a:r>
            <a:rPr lang="en-US" sz="1100" baseline="0"/>
            <a:t>Enter desired maximum VDDH droop when triggering the SCR/TRIAC. Recommended to be 1V or less.</a:t>
          </a:r>
        </a:p>
        <a:p>
          <a:r>
            <a:rPr lang="en-US" sz="1100" b="1" baseline="0">
              <a:solidFill>
                <a:schemeClr val="dk1"/>
              </a:solidFill>
              <a:effectLst/>
              <a:latin typeface="+mn-lt"/>
              <a:ea typeface="+mn-ea"/>
              <a:cs typeface="+mn-cs"/>
            </a:rPr>
            <a:t>2g: Enter EN high time pulse width, tEN.</a:t>
          </a:r>
          <a:endParaRPr lang="en-US">
            <a:effectLst/>
          </a:endParaRPr>
        </a:p>
        <a:p>
          <a:r>
            <a:rPr lang="en-US" sz="1100" baseline="0">
              <a:solidFill>
                <a:schemeClr val="dk1"/>
              </a:solidFill>
              <a:effectLst/>
              <a:latin typeface="+mn-lt"/>
              <a:ea typeface="+mn-ea"/>
              <a:cs typeface="+mn-cs"/>
            </a:rPr>
            <a:t>Enter desired EN high time pulse width. This value must be greater than or equal to tEN_min. Minimizing the EN high time pulse reduces the need for higher power. Recommended to set the EN high time equal to tEN_min. For S-versions, tEN_min is 5us.</a:t>
          </a:r>
          <a:endParaRPr lang="en-US" sz="1100" baseline="0"/>
        </a:p>
        <a:p>
          <a:pPr eaLnBrk="1" fontAlgn="auto" latinLnBrk="0" hangingPunct="1"/>
          <a:endParaRPr lang="en-US" sz="1100" baseline="0"/>
        </a:p>
        <a:p>
          <a:r>
            <a:rPr lang="en-US" sz="1100" i="1" u="sng" baseline="0">
              <a:solidFill>
                <a:schemeClr val="dk1"/>
              </a:solidFill>
              <a:effectLst/>
              <a:latin typeface="+mn-lt"/>
              <a:ea typeface="+mn-ea"/>
              <a:cs typeface="+mn-cs"/>
            </a:rPr>
            <a:t>Computed results: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GT_MAX</a:t>
          </a:r>
          <a:r>
            <a:rPr lang="en-US" sz="1100" baseline="0">
              <a:solidFill>
                <a:schemeClr val="dk1"/>
              </a:solidFill>
              <a:effectLst/>
              <a:latin typeface="+mn-lt"/>
              <a:ea typeface="+mn-ea"/>
              <a:cs typeface="+mn-cs"/>
            </a:rPr>
            <a:t>: Computed trigger current at start of trigger pulse.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GT_MIN</a:t>
          </a:r>
          <a:r>
            <a:rPr lang="en-US" sz="1100" baseline="0">
              <a:solidFill>
                <a:schemeClr val="dk1"/>
              </a:solidFill>
              <a:effectLst/>
              <a:latin typeface="+mn-lt"/>
              <a:ea typeface="+mn-ea"/>
              <a:cs typeface="+mn-cs"/>
            </a:rPr>
            <a:t>: Computed trigger current at end of trigger pulse.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GT_AVG</a:t>
          </a:r>
          <a:r>
            <a:rPr lang="en-US" sz="1100" baseline="0">
              <a:solidFill>
                <a:schemeClr val="dk1"/>
              </a:solidFill>
              <a:effectLst/>
              <a:latin typeface="+mn-lt"/>
              <a:ea typeface="+mn-ea"/>
              <a:cs typeface="+mn-cs"/>
            </a:rPr>
            <a:t>: Computed average trigger current.</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Q</a:t>
          </a:r>
          <a:r>
            <a:rPr lang="en-US" sz="1100" baseline="-25000">
              <a:solidFill>
                <a:schemeClr val="dk1"/>
              </a:solidFill>
              <a:effectLst/>
              <a:latin typeface="+mn-lt"/>
              <a:ea typeface="+mn-ea"/>
              <a:cs typeface="+mn-cs"/>
            </a:rPr>
            <a:t>TOTAL</a:t>
          </a:r>
          <a:r>
            <a:rPr lang="en-US" sz="1100" baseline="0">
              <a:solidFill>
                <a:schemeClr val="dk1"/>
              </a:solidFill>
              <a:effectLst/>
              <a:latin typeface="+mn-lt"/>
              <a:ea typeface="+mn-ea"/>
              <a:cs typeface="+mn-cs"/>
            </a:rPr>
            <a:t>: Computed total charge required to trigger the SCR/TRIAC.</a:t>
          </a:r>
          <a:endParaRPr lang="en-US" sz="1100" baseline="0"/>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C</a:t>
          </a:r>
          <a:r>
            <a:rPr lang="en-US" sz="1100" baseline="-25000">
              <a:solidFill>
                <a:schemeClr val="dk1"/>
              </a:solidFill>
              <a:effectLst/>
              <a:latin typeface="+mn-lt"/>
              <a:ea typeface="+mn-ea"/>
              <a:cs typeface="+mn-cs"/>
            </a:rPr>
            <a:t>DIV1_CALC</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DIV2_CALC</a:t>
          </a:r>
          <a:r>
            <a:rPr lang="en-US" sz="1100" baseline="0">
              <a:solidFill>
                <a:schemeClr val="dk1"/>
              </a:solidFill>
              <a:effectLst/>
              <a:latin typeface="+mn-lt"/>
              <a:ea typeface="+mn-ea"/>
              <a:cs typeface="+mn-cs"/>
            </a:rPr>
            <a:t>:  Computed capacitance values of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This capacitance represents the absolute capacitance, so derating should be applied as necessary. </a:t>
          </a:r>
        </a:p>
        <a:p>
          <a:pPr eaLnBrk="1" fontAlgn="auto" latinLnBrk="0" hangingPunct="1"/>
          <a:endParaRPr lang="en-US" sz="1100" baseline="0"/>
        </a:p>
        <a:p>
          <a:r>
            <a:rPr lang="en-US" sz="1600" i="1" baseline="0">
              <a:solidFill>
                <a:schemeClr val="dk1"/>
              </a:solidFill>
              <a:effectLst/>
              <a:latin typeface="+mn-lt"/>
              <a:ea typeface="+mn-ea"/>
              <a:cs typeface="+mn-cs"/>
            </a:rPr>
            <a:t>If switch type selected in 1b is MOSFET, IGBT:</a:t>
          </a:r>
          <a:endParaRPr lang="en-US" sz="1600" i="1">
            <a:effectLst/>
          </a:endParaRPr>
        </a:p>
        <a:p>
          <a:r>
            <a:rPr lang="en-US" sz="1100" b="1" baseline="0">
              <a:solidFill>
                <a:schemeClr val="dk1"/>
              </a:solidFill>
              <a:effectLst/>
              <a:latin typeface="+mn-lt"/>
              <a:ea typeface="+mn-ea"/>
              <a:cs typeface="+mn-cs"/>
            </a:rPr>
            <a:t>2a: Enter total gate charge, Q</a:t>
          </a:r>
          <a:r>
            <a:rPr lang="en-US" sz="1100" b="1" baseline="-25000">
              <a:solidFill>
                <a:schemeClr val="dk1"/>
              </a:solidFill>
              <a:effectLst/>
              <a:latin typeface="+mn-lt"/>
              <a:ea typeface="+mn-ea"/>
              <a:cs typeface="+mn-cs"/>
            </a:rPr>
            <a:t>TOTAL</a:t>
          </a:r>
          <a:r>
            <a:rPr lang="en-US" sz="1100" b="1"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Enter the total gate charge of transistors to be driven. Q</a:t>
          </a:r>
          <a:r>
            <a:rPr lang="en-US" sz="1100" baseline="-25000">
              <a:solidFill>
                <a:schemeClr val="dk1"/>
              </a:solidFill>
              <a:effectLst/>
              <a:latin typeface="+mn-lt"/>
              <a:ea typeface="+mn-ea"/>
              <a:cs typeface="+mn-cs"/>
            </a:rPr>
            <a:t>TOTAL</a:t>
          </a:r>
          <a:r>
            <a:rPr lang="en-US" sz="1100" baseline="0">
              <a:solidFill>
                <a:schemeClr val="dk1"/>
              </a:solidFill>
              <a:effectLst/>
              <a:latin typeface="+mn-lt"/>
              <a:ea typeface="+mn-ea"/>
              <a:cs typeface="+mn-cs"/>
            </a:rPr>
            <a:t> is restricted to a maximum of 3500 nC.</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There are two options available for the following steps. User </a:t>
          </a:r>
          <a:r>
            <a:rPr lang="en-US" sz="1100" b="1" u="sng" baseline="0">
              <a:solidFill>
                <a:schemeClr val="dk1"/>
              </a:solidFill>
              <a:effectLst/>
              <a:latin typeface="+mn-lt"/>
              <a:ea typeface="+mn-ea"/>
              <a:cs typeface="+mn-cs"/>
            </a:rPr>
            <a:t>must</a:t>
          </a:r>
          <a:r>
            <a:rPr lang="en-US" sz="1100" b="1" baseline="0">
              <a:solidFill>
                <a:schemeClr val="dk1"/>
              </a:solidFill>
              <a:effectLst/>
              <a:latin typeface="+mn-lt"/>
              <a:ea typeface="+mn-ea"/>
              <a:cs typeface="+mn-cs"/>
            </a:rPr>
            <a:t> select which option to use for the calculations (OPTION A or B).</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OPTION A: User may enter desired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Based on these inputs, VDDH</a:t>
          </a:r>
          <a:r>
            <a:rPr lang="en-US" sz="1100" b="1" baseline="-25000">
              <a:solidFill>
                <a:schemeClr val="dk1"/>
              </a:solidFill>
              <a:effectLst/>
              <a:latin typeface="+mn-lt"/>
              <a:ea typeface="+mn-ea"/>
              <a:cs typeface="+mn-cs"/>
            </a:rPr>
            <a:t>droop</a:t>
          </a:r>
          <a:r>
            <a:rPr lang="en-US" sz="1100" b="1" baseline="0">
              <a:solidFill>
                <a:schemeClr val="dk1"/>
              </a:solidFill>
              <a:effectLst/>
              <a:latin typeface="+mn-lt"/>
              <a:ea typeface="+mn-ea"/>
              <a:cs typeface="+mn-cs"/>
            </a:rPr>
            <a:t> and VDDMripple are computed.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OPTION B: User may enter desired VDDH</a:t>
          </a:r>
          <a:r>
            <a:rPr lang="en-US" sz="1100" b="1" baseline="-25000">
              <a:solidFill>
                <a:schemeClr val="dk1"/>
              </a:solidFill>
              <a:effectLst/>
              <a:latin typeface="+mn-lt"/>
              <a:ea typeface="+mn-ea"/>
              <a:cs typeface="+mn-cs"/>
            </a:rPr>
            <a:t>droop</a:t>
          </a:r>
          <a:r>
            <a:rPr lang="en-US" sz="1100" b="1" baseline="0">
              <a:solidFill>
                <a:schemeClr val="dk1"/>
              </a:solidFill>
              <a:effectLst/>
              <a:latin typeface="+mn-lt"/>
              <a:ea typeface="+mn-ea"/>
              <a:cs typeface="+mn-cs"/>
            </a:rPr>
            <a:t> and ratio of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to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Based on these inputs,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and VDDM</a:t>
          </a:r>
          <a:r>
            <a:rPr lang="en-US" sz="1100" b="1" baseline="-25000">
              <a:solidFill>
                <a:schemeClr val="dk1"/>
              </a:solidFill>
              <a:effectLst/>
              <a:latin typeface="+mn-lt"/>
              <a:ea typeface="+mn-ea"/>
              <a:cs typeface="+mn-cs"/>
            </a:rPr>
            <a:t>ripple</a:t>
          </a:r>
          <a:r>
            <a:rPr lang="en-US" sz="1100" b="1" baseline="0">
              <a:solidFill>
                <a:schemeClr val="dk1"/>
              </a:solidFill>
              <a:effectLst/>
              <a:latin typeface="+mn-lt"/>
              <a:ea typeface="+mn-ea"/>
              <a:cs typeface="+mn-cs"/>
            </a:rPr>
            <a:t> are computed.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dk1"/>
              </a:solidFill>
              <a:effectLst/>
              <a:latin typeface="+mn-lt"/>
              <a:ea typeface="+mn-ea"/>
              <a:cs typeface="+mn-cs"/>
            </a:rPr>
            <a:t>OPTION A:</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the desired capacitance value.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Each capacitance represents the absolute capacitance, so derating should be applied as necessary. The calculator checks for a minimum value of 3.0 nF and max value of 40 µF. In addition,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must be greater than or equal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u="sng" baseline="0">
              <a:solidFill>
                <a:schemeClr val="dk1"/>
              </a:solidFill>
              <a:effectLst/>
              <a:latin typeface="+mn-lt"/>
              <a:ea typeface="+mn-ea"/>
              <a:cs typeface="+mn-cs"/>
            </a:rPr>
            <a:t>Computed results:</a:t>
          </a:r>
          <a:endParaRPr lang="en-US">
            <a:effectLst/>
          </a:endParaRPr>
        </a:p>
        <a:p>
          <a:r>
            <a:rPr lang="en-US">
              <a:effectLst/>
            </a:rPr>
            <a:t>n: Computed</a:t>
          </a:r>
          <a:r>
            <a:rPr lang="en-US" baseline="0">
              <a:effectLst/>
            </a:rPr>
            <a:t> ratio of C</a:t>
          </a:r>
          <a:r>
            <a:rPr lang="en-US" baseline="-25000">
              <a:effectLst/>
            </a:rPr>
            <a:t>DIV2 </a:t>
          </a:r>
          <a:r>
            <a:rPr lang="en-US" baseline="0">
              <a:effectLst/>
            </a:rPr>
            <a:t>and C</a:t>
          </a:r>
          <a:r>
            <a:rPr lang="en-US" baseline="-25000">
              <a:effectLst/>
            </a:rPr>
            <a:t>DIV1</a:t>
          </a:r>
          <a:r>
            <a:rPr lang="en-US" baseline="0">
              <a:effectLst/>
            </a:rPr>
            <a:t> inputs. The calculator will check for proper minimum ratio of C</a:t>
          </a:r>
          <a:r>
            <a:rPr lang="en-US" baseline="-25000">
              <a:effectLst/>
            </a:rPr>
            <a:t>DIV2</a:t>
          </a:r>
          <a:r>
            <a:rPr lang="en-US" baseline="0">
              <a:effectLst/>
            </a:rPr>
            <a:t> to C</a:t>
          </a:r>
          <a:r>
            <a:rPr lang="en-US" baseline="-25000">
              <a:effectLst/>
            </a:rPr>
            <a:t>DIV1</a:t>
          </a:r>
          <a:r>
            <a:rPr lang="en-US" baseline="0">
              <a:effectLst/>
            </a:rPr>
            <a:t>. If minimum ratio is not met an error message will be displayed.</a:t>
          </a: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VDDH</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Computed VDDH droop when switching the load presented on VDRV. It is recommended to target 0.5 V or less. Too high a droop may cause the undervoltage protection to disable the driver during switching.</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VDDMdroop: Computed VDDM droop when switching the load presented on VDRV.</a:t>
          </a:r>
          <a:endParaRPr lang="en-US">
            <a:effectLst/>
          </a:endParaRPr>
        </a:p>
        <a:p>
          <a:endParaRPr lang="en-US">
            <a:effectLst/>
          </a:endParaRPr>
        </a:p>
        <a:p>
          <a:r>
            <a:rPr lang="en-US">
              <a:effectLst/>
            </a:rPr>
            <a:t>VDDM</a:t>
          </a:r>
          <a:r>
            <a:rPr lang="en-US" baseline="-25000">
              <a:effectLst/>
            </a:rPr>
            <a:t>ripple</a:t>
          </a:r>
          <a:r>
            <a:rPr lang="en-US">
              <a:effectLst/>
            </a:rPr>
            <a:t>: Computed ripple of</a:t>
          </a:r>
          <a:r>
            <a:rPr lang="en-US" baseline="0">
              <a:effectLst/>
            </a:rPr>
            <a:t> the VDDM supply rail. Does not include any additional drops (VDDM</a:t>
          </a:r>
          <a:r>
            <a:rPr lang="en-US" baseline="-25000">
              <a:effectLst/>
            </a:rPr>
            <a:t>droop</a:t>
          </a:r>
          <a:r>
            <a:rPr lang="en-US" baseline="0">
              <a:effectLst/>
            </a:rPr>
            <a:t>) during switching of VDRV. Using higher </a:t>
          </a:r>
          <a:r>
            <a:rPr lang="en-US" sz="1100" b="0" baseline="0">
              <a:solidFill>
                <a:schemeClr val="dk1"/>
              </a:solidFill>
              <a:effectLst/>
              <a:latin typeface="+mn-lt"/>
              <a:ea typeface="+mn-ea"/>
              <a:cs typeface="+mn-cs"/>
            </a:rPr>
            <a:t>R</a:t>
          </a:r>
          <a:r>
            <a:rPr lang="en-US" sz="1100" b="0" baseline="-25000">
              <a:solidFill>
                <a:schemeClr val="dk1"/>
              </a:solidFill>
              <a:effectLst/>
              <a:latin typeface="+mn-lt"/>
              <a:ea typeface="+mn-ea"/>
              <a:cs typeface="+mn-cs"/>
            </a:rPr>
            <a:t>PXFR</a:t>
          </a:r>
          <a:r>
            <a:rPr lang="en-US" baseline="0">
              <a:effectLst/>
            </a:rPr>
            <a:t> settings,  increasing C</a:t>
          </a:r>
          <a:r>
            <a:rPr lang="en-US" baseline="-25000">
              <a:effectLst/>
            </a:rPr>
            <a:t>DIV2</a:t>
          </a:r>
          <a:r>
            <a:rPr lang="en-US" baseline="0">
              <a:effectLst/>
            </a:rPr>
            <a:t> to C</a:t>
          </a:r>
          <a:r>
            <a:rPr lang="en-US" baseline="-25000">
              <a:effectLst/>
            </a:rPr>
            <a:t>DIV1</a:t>
          </a:r>
          <a:r>
            <a:rPr lang="en-US" baseline="0">
              <a:effectLst/>
            </a:rPr>
            <a:t> ratio, will improve VDDM ripple for a given I</a:t>
          </a:r>
          <a:r>
            <a:rPr lang="en-US" baseline="-25000">
              <a:effectLst/>
            </a:rPr>
            <a:t>AUX</a:t>
          </a:r>
          <a:r>
            <a:rPr lang="en-US" baseline="0">
              <a:effectLst/>
            </a:rPr>
            <a:t>.</a:t>
          </a:r>
          <a:endParaRPr lang="en-US">
            <a:effectLst/>
          </a:endParaRPr>
        </a:p>
        <a:p>
          <a:endParaRPr lang="en-US">
            <a:effectLst/>
          </a:endParaRPr>
        </a:p>
        <a:p>
          <a:r>
            <a:rPr lang="en-US" sz="1100" b="1" u="sng"/>
            <a:t>OPTION B:</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a:t>
          </a:r>
          <a:endParaRPr lang="en-US" sz="1100" b="1"/>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VDDH</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Enter desired maximum VDDH droop when switching the load. It is recommended to target 0.5 V or less. Too high a droop may cause the undervoltage protection to disable the driver during switching.</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n.</a:t>
          </a: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 Enter desired</a:t>
          </a:r>
          <a:r>
            <a:rPr lang="en-US" sz="1100" baseline="0">
              <a:solidFill>
                <a:schemeClr val="dk1"/>
              </a:solidFill>
              <a:effectLst/>
              <a:latin typeface="+mn-lt"/>
              <a:ea typeface="+mn-ea"/>
              <a:cs typeface="+mn-cs"/>
            </a:rPr>
            <a:t> ratio of C</a:t>
          </a:r>
          <a:r>
            <a:rPr lang="en-US" sz="1100" baseline="-25000">
              <a:solidFill>
                <a:schemeClr val="dk1"/>
              </a:solidFill>
              <a:effectLst/>
              <a:latin typeface="+mn-lt"/>
              <a:ea typeface="+mn-ea"/>
              <a:cs typeface="+mn-cs"/>
            </a:rPr>
            <a:t>DIV2 </a:t>
          </a:r>
          <a:r>
            <a:rPr lang="en-US" sz="1100" baseline="0">
              <a:solidFill>
                <a:schemeClr val="dk1"/>
              </a:solidFill>
              <a:effectLst/>
              <a:latin typeface="+mn-lt"/>
              <a:ea typeface="+mn-ea"/>
              <a:cs typeface="+mn-cs"/>
            </a:rPr>
            <a:t>and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inputs.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i="1" u="sng" baseline="0">
              <a:solidFill>
                <a:schemeClr val="dk1"/>
              </a:solidFill>
              <a:effectLst/>
              <a:latin typeface="+mn-lt"/>
              <a:ea typeface="+mn-ea"/>
              <a:cs typeface="+mn-cs"/>
            </a:rPr>
            <a:t>Computed results: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a:t>
          </a:r>
          <a:r>
            <a:rPr lang="en-US" sz="1100" baseline="-25000">
              <a:solidFill>
                <a:schemeClr val="dk1"/>
              </a:solidFill>
              <a:effectLst/>
              <a:latin typeface="+mn-lt"/>
              <a:ea typeface="+mn-ea"/>
              <a:cs typeface="+mn-cs"/>
            </a:rPr>
            <a:t>DIV1_CALC</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DIV2_CALC</a:t>
          </a:r>
          <a:r>
            <a:rPr lang="en-US" sz="1100" baseline="0">
              <a:solidFill>
                <a:schemeClr val="dk1"/>
              </a:solidFill>
              <a:effectLst/>
              <a:latin typeface="+mn-lt"/>
              <a:ea typeface="+mn-ea"/>
              <a:cs typeface="+mn-cs"/>
            </a:rPr>
            <a:t>:  Computed capacitance values of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This capacitance represents the absolute capacitance, so derating should be applied as necessary. The calculator sets a minimum value of 3.0 nF. </a:t>
          </a:r>
          <a:endParaRPr lang="en-US">
            <a:effectLst/>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VDDM</a:t>
          </a:r>
          <a:r>
            <a:rPr lang="en-US" sz="1100" baseline="-25000">
              <a:solidFill>
                <a:schemeClr val="dk1"/>
              </a:solidFill>
              <a:effectLst/>
              <a:latin typeface="+mn-lt"/>
              <a:ea typeface="+mn-ea"/>
              <a:cs typeface="+mn-cs"/>
            </a:rPr>
            <a:t>ripple</a:t>
          </a:r>
          <a:r>
            <a:rPr lang="en-US" sz="1100">
              <a:solidFill>
                <a:schemeClr val="dk1"/>
              </a:solidFill>
              <a:effectLst/>
              <a:latin typeface="+mn-lt"/>
              <a:ea typeface="+mn-ea"/>
              <a:cs typeface="+mn-cs"/>
            </a:rPr>
            <a:t>: Computed ripple of</a:t>
          </a:r>
          <a:r>
            <a:rPr lang="en-US" sz="1100" baseline="0">
              <a:solidFill>
                <a:schemeClr val="dk1"/>
              </a:solidFill>
              <a:effectLst/>
              <a:latin typeface="+mn-lt"/>
              <a:ea typeface="+mn-ea"/>
              <a:cs typeface="+mn-cs"/>
            </a:rPr>
            <a:t> the VDDM supply rail. Does not include any additional drops (VDDM</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during switching of VDRV. Using higher </a:t>
          </a:r>
          <a:r>
            <a:rPr lang="en-US" sz="1100" b="0" baseline="0">
              <a:solidFill>
                <a:schemeClr val="dk1"/>
              </a:solidFill>
              <a:effectLst/>
              <a:latin typeface="+mn-lt"/>
              <a:ea typeface="+mn-ea"/>
              <a:cs typeface="+mn-cs"/>
            </a:rPr>
            <a:t>R</a:t>
          </a:r>
          <a:r>
            <a:rPr lang="en-US" sz="1100" b="0" baseline="-25000">
              <a:solidFill>
                <a:schemeClr val="dk1"/>
              </a:solidFill>
              <a:effectLst/>
              <a:latin typeface="+mn-lt"/>
              <a:ea typeface="+mn-ea"/>
              <a:cs typeface="+mn-cs"/>
            </a:rPr>
            <a:t>PXFR</a:t>
          </a:r>
          <a:r>
            <a:rPr lang="en-US" sz="1100" baseline="0">
              <a:solidFill>
                <a:schemeClr val="dk1"/>
              </a:solidFill>
              <a:effectLst/>
              <a:latin typeface="+mn-lt"/>
              <a:ea typeface="+mn-ea"/>
              <a:cs typeface="+mn-cs"/>
            </a:rPr>
            <a:t> settings,  increasing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ratio, will improve VDDM ripple for a given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a:t>
          </a:r>
          <a:endParaRPr lang="en-US">
            <a:effectLst/>
          </a:endParaRPr>
        </a:p>
      </xdr:txBody>
    </xdr:sp>
    <xdr:clientData/>
  </xdr:twoCellAnchor>
  <xdr:twoCellAnchor editAs="oneCell">
    <xdr:from>
      <xdr:col>0</xdr:col>
      <xdr:colOff>0</xdr:colOff>
      <xdr:row>0</xdr:row>
      <xdr:rowOff>0</xdr:rowOff>
    </xdr:from>
    <xdr:to>
      <xdr:col>3</xdr:col>
      <xdr:colOff>177613</xdr:colOff>
      <xdr:row>2</xdr:row>
      <xdr:rowOff>135676</xdr:rowOff>
    </xdr:to>
    <xdr:pic>
      <xdr:nvPicPr>
        <xdr:cNvPr id="7" name="Picture 6">
          <a:extLst>
            <a:ext uri="{FF2B5EF4-FFF2-40B4-BE49-F238E27FC236}">
              <a16:creationId xmlns:a16="http://schemas.microsoft.com/office/drawing/2014/main" id="{39DA6330-266F-4B48-A233-619ADFDEE87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084" b="29166"/>
        <a:stretch/>
      </xdr:blipFill>
      <xdr:spPr>
        <a:xfrm>
          <a:off x="0" y="0"/>
          <a:ext cx="3025588" cy="459526"/>
        </a:xfrm>
        <a:prstGeom prst="rect">
          <a:avLst/>
        </a:prstGeom>
      </xdr:spPr>
    </xdr:pic>
    <xdr:clientData/>
  </xdr:twoCellAnchor>
  <xdr:twoCellAnchor>
    <xdr:from>
      <xdr:col>3</xdr:col>
      <xdr:colOff>161925</xdr:colOff>
      <xdr:row>0</xdr:row>
      <xdr:rowOff>133350</xdr:rowOff>
    </xdr:from>
    <xdr:to>
      <xdr:col>3</xdr:col>
      <xdr:colOff>4159250</xdr:colOff>
      <xdr:row>2</xdr:row>
      <xdr:rowOff>139700</xdr:rowOff>
    </xdr:to>
    <xdr:sp macro="" textlink="">
      <xdr:nvSpPr>
        <xdr:cNvPr id="8" name="TextBox 7">
          <a:extLst>
            <a:ext uri="{FF2B5EF4-FFF2-40B4-BE49-F238E27FC236}">
              <a16:creationId xmlns:a16="http://schemas.microsoft.com/office/drawing/2014/main" id="{46C30A9D-3C1A-4071-B020-0B971ECB0FA4}"/>
            </a:ext>
          </a:extLst>
        </xdr:cNvPr>
        <xdr:cNvSpPr txBox="1"/>
      </xdr:nvSpPr>
      <xdr:spPr>
        <a:xfrm>
          <a:off x="3009900" y="133350"/>
          <a:ext cx="3997325"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u="sng"/>
            <a:t>TPSI305x</a:t>
          </a:r>
          <a:r>
            <a:rPr lang="en-US" sz="2000" b="1" u="sng" baseline="0"/>
            <a:t> Calculator</a:t>
          </a:r>
          <a:endParaRPr lang="en-US" sz="2000" b="1" u="sng"/>
        </a:p>
      </xdr:txBody>
    </xdr:sp>
    <xdr:clientData/>
  </xdr:twoCellAnchor>
  <xdr:twoCellAnchor>
    <xdr:from>
      <xdr:col>3</xdr:col>
      <xdr:colOff>4171950</xdr:colOff>
      <xdr:row>1</xdr:row>
      <xdr:rowOff>76200</xdr:rowOff>
    </xdr:from>
    <xdr:to>
      <xdr:col>32</xdr:col>
      <xdr:colOff>533400</xdr:colOff>
      <xdr:row>2</xdr:row>
      <xdr:rowOff>136525</xdr:rowOff>
    </xdr:to>
    <xdr:sp macro="" textlink="">
      <xdr:nvSpPr>
        <xdr:cNvPr id="10" name="TextBox 9">
          <a:hlinkClick xmlns:r="http://schemas.openxmlformats.org/officeDocument/2006/relationships" r:id="rId4"/>
          <a:extLst>
            <a:ext uri="{FF2B5EF4-FFF2-40B4-BE49-F238E27FC236}">
              <a16:creationId xmlns:a16="http://schemas.microsoft.com/office/drawing/2014/main" id="{397947A1-5F77-4EDF-AFD0-2CB116EDC624}"/>
            </a:ext>
          </a:extLst>
        </xdr:cNvPr>
        <xdr:cNvSpPr txBox="1"/>
      </xdr:nvSpPr>
      <xdr:spPr>
        <a:xfrm>
          <a:off x="7019925" y="238125"/>
          <a:ext cx="4514850" cy="2222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70C0"/>
              </a:solidFill>
            </a:rPr>
            <a:t>© Copyright 2024 </a:t>
          </a:r>
          <a:r>
            <a:rPr lang="en-US" sz="1100"/>
            <a:t>Texas Instruments Incorporated. All rights</a:t>
          </a:r>
          <a:r>
            <a:rPr lang="en-US" sz="1100" baseline="0"/>
            <a:t> reserved.</a:t>
          </a:r>
          <a:endParaRPr lang="en-US" sz="1100"/>
        </a:p>
      </xdr:txBody>
    </xdr:sp>
    <xdr:clientData/>
  </xdr:twoCellAnchor>
  <xdr:twoCellAnchor editAs="oneCell">
    <xdr:from>
      <xdr:col>4</xdr:col>
      <xdr:colOff>19051</xdr:colOff>
      <xdr:row>8</xdr:row>
      <xdr:rowOff>28574</xdr:rowOff>
    </xdr:from>
    <xdr:to>
      <xdr:col>34</xdr:col>
      <xdr:colOff>96063</xdr:colOff>
      <xdr:row>12</xdr:row>
      <xdr:rowOff>495300</xdr:rowOff>
    </xdr:to>
    <xdr:pic>
      <xdr:nvPicPr>
        <xdr:cNvPr id="11" name="Picture 10">
          <a:extLst>
            <a:ext uri="{FF2B5EF4-FFF2-40B4-BE49-F238E27FC236}">
              <a16:creationId xmlns:a16="http://schemas.microsoft.com/office/drawing/2014/main" id="{E8D0DD34-274F-47BA-A39D-D804CBEEF2B4}"/>
            </a:ext>
          </a:extLst>
        </xdr:cNvPr>
        <xdr:cNvPicPr>
          <a:picLocks noChangeAspect="1"/>
        </xdr:cNvPicPr>
      </xdr:nvPicPr>
      <xdr:blipFill>
        <a:blip xmlns:r="http://schemas.openxmlformats.org/officeDocument/2006/relationships" r:embed="rId5"/>
        <a:stretch>
          <a:fillRect/>
        </a:stretch>
      </xdr:blipFill>
      <xdr:spPr>
        <a:xfrm>
          <a:off x="8582026" y="1924049"/>
          <a:ext cx="3734612" cy="1809751"/>
        </a:xfrm>
        <a:prstGeom prst="rect">
          <a:avLst/>
        </a:prstGeom>
        <a:effectLst>
          <a:outerShdw blurRad="63500" sx="102000" sy="102000" algn="ctr" rotWithShape="0">
            <a:prstClr val="black">
              <a:alpha val="40000"/>
            </a:prstClr>
          </a:outerShdw>
        </a:effectLst>
      </xdr:spPr>
    </xdr:pic>
    <xdr:clientData/>
  </xdr:twoCellAnchor>
  <xdr:twoCellAnchor editAs="oneCell">
    <xdr:from>
      <xdr:col>34</xdr:col>
      <xdr:colOff>133350</xdr:colOff>
      <xdr:row>8</xdr:row>
      <xdr:rowOff>19049</xdr:rowOff>
    </xdr:from>
    <xdr:to>
      <xdr:col>40</xdr:col>
      <xdr:colOff>232951</xdr:colOff>
      <xdr:row>12</xdr:row>
      <xdr:rowOff>495300</xdr:rowOff>
    </xdr:to>
    <xdr:pic>
      <xdr:nvPicPr>
        <xdr:cNvPr id="12" name="Picture 11">
          <a:extLst>
            <a:ext uri="{FF2B5EF4-FFF2-40B4-BE49-F238E27FC236}">
              <a16:creationId xmlns:a16="http://schemas.microsoft.com/office/drawing/2014/main" id="{B94F9D27-3BDD-4817-AC4F-393356D9E945}"/>
            </a:ext>
          </a:extLst>
        </xdr:cNvPr>
        <xdr:cNvPicPr>
          <a:picLocks noChangeAspect="1"/>
        </xdr:cNvPicPr>
      </xdr:nvPicPr>
      <xdr:blipFill>
        <a:blip xmlns:r="http://schemas.openxmlformats.org/officeDocument/2006/relationships" r:embed="rId6"/>
        <a:stretch>
          <a:fillRect/>
        </a:stretch>
      </xdr:blipFill>
      <xdr:spPr>
        <a:xfrm>
          <a:off x="12353925" y="1914524"/>
          <a:ext cx="3757201" cy="1819276"/>
        </a:xfrm>
        <a:prstGeom prst="rect">
          <a:avLst/>
        </a:prstGeom>
        <a:effectLst>
          <a:outerShdw blurRad="63500" sx="102000" sy="102000" algn="ctr" rotWithShape="0">
            <a:prstClr val="black">
              <a:alpha val="40000"/>
            </a:prstClr>
          </a:outerShdw>
        </a:effectLst>
      </xdr:spPr>
    </xdr:pic>
    <xdr:clientData/>
  </xdr:twoCellAnchor>
  <xdr:twoCellAnchor editAs="oneCell">
    <xdr:from>
      <xdr:col>34</xdr:col>
      <xdr:colOff>219075</xdr:colOff>
      <xdr:row>5</xdr:row>
      <xdr:rowOff>238124</xdr:rowOff>
    </xdr:from>
    <xdr:to>
      <xdr:col>35</xdr:col>
      <xdr:colOff>353536</xdr:colOff>
      <xdr:row>7</xdr:row>
      <xdr:rowOff>375607</xdr:rowOff>
    </xdr:to>
    <xdr:pic>
      <xdr:nvPicPr>
        <xdr:cNvPr id="9" name="Graphic 8">
          <a:extLst>
            <a:ext uri="{FF2B5EF4-FFF2-40B4-BE49-F238E27FC236}">
              <a16:creationId xmlns:a16="http://schemas.microsoft.com/office/drawing/2014/main" id="{F16D7E8F-196E-4175-82B3-32295D7D3FE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2439650" y="1047749"/>
          <a:ext cx="744061" cy="842333"/>
        </a:xfrm>
        <a:prstGeom prst="rect">
          <a:avLst/>
        </a:prstGeom>
      </xdr:spPr>
    </xdr:pic>
    <xdr:clientData/>
  </xdr:twoCellAnchor>
  <xdr:twoCellAnchor editAs="oneCell">
    <xdr:from>
      <xdr:col>32</xdr:col>
      <xdr:colOff>178575</xdr:colOff>
      <xdr:row>5</xdr:row>
      <xdr:rowOff>200025</xdr:rowOff>
    </xdr:from>
    <xdr:to>
      <xdr:col>33</xdr:col>
      <xdr:colOff>377698</xdr:colOff>
      <xdr:row>8</xdr:row>
      <xdr:rowOff>59834</xdr:rowOff>
    </xdr:to>
    <xdr:pic>
      <xdr:nvPicPr>
        <xdr:cNvPr id="14" name="Graphic 13">
          <a:extLst>
            <a:ext uri="{FF2B5EF4-FFF2-40B4-BE49-F238E27FC236}">
              <a16:creationId xmlns:a16="http://schemas.microsoft.com/office/drawing/2014/main" id="{6508650E-B05C-430D-8BAD-111067AC184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1179950" y="1009650"/>
          <a:ext cx="808723" cy="945659"/>
        </a:xfrm>
        <a:prstGeom prst="rect">
          <a:avLst/>
        </a:prstGeom>
      </xdr:spPr>
    </xdr:pic>
    <xdr:clientData/>
  </xdr:twoCellAnchor>
  <xdr:twoCellAnchor editAs="oneCell">
    <xdr:from>
      <xdr:col>4</xdr:col>
      <xdr:colOff>357151</xdr:colOff>
      <xdr:row>6</xdr:row>
      <xdr:rowOff>7721</xdr:rowOff>
    </xdr:from>
    <xdr:to>
      <xdr:col>5</xdr:col>
      <xdr:colOff>361951</xdr:colOff>
      <xdr:row>7</xdr:row>
      <xdr:rowOff>329576</xdr:rowOff>
    </xdr:to>
    <xdr:pic>
      <xdr:nvPicPr>
        <xdr:cNvPr id="16" name="Graphic 15">
          <a:extLst>
            <a:ext uri="{FF2B5EF4-FFF2-40B4-BE49-F238E27FC236}">
              <a16:creationId xmlns:a16="http://schemas.microsoft.com/office/drawing/2014/main" id="{CFE9B612-A7FA-4D6B-B2D8-6446A9B48B2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920126" y="1141196"/>
          <a:ext cx="614400" cy="702855"/>
        </a:xfrm>
        <a:prstGeom prst="rect">
          <a:avLst/>
        </a:prstGeom>
      </xdr:spPr>
    </xdr:pic>
    <xdr:clientData/>
  </xdr:twoCellAnchor>
  <xdr:twoCellAnchor editAs="oneCell">
    <xdr:from>
      <xdr:col>30</xdr:col>
      <xdr:colOff>180976</xdr:colOff>
      <xdr:row>5</xdr:row>
      <xdr:rowOff>121212</xdr:rowOff>
    </xdr:from>
    <xdr:to>
      <xdr:col>32</xdr:col>
      <xdr:colOff>314324</xdr:colOff>
      <xdr:row>8</xdr:row>
      <xdr:rowOff>150952</xdr:rowOff>
    </xdr:to>
    <xdr:pic>
      <xdr:nvPicPr>
        <xdr:cNvPr id="18" name="Graphic 17">
          <a:extLst>
            <a:ext uri="{FF2B5EF4-FFF2-40B4-BE49-F238E27FC236}">
              <a16:creationId xmlns:a16="http://schemas.microsoft.com/office/drawing/2014/main" id="{C5FA29BF-EB3F-4A40-86B8-F211C8CCB93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9963151" y="930837"/>
          <a:ext cx="923924" cy="1115590"/>
        </a:xfrm>
        <a:prstGeom prst="rect">
          <a:avLst/>
        </a:prstGeom>
      </xdr:spPr>
    </xdr:pic>
    <xdr:clientData/>
  </xdr:twoCellAnchor>
  <xdr:oneCellAnchor>
    <xdr:from>
      <xdr:col>4</xdr:col>
      <xdr:colOff>561975</xdr:colOff>
      <xdr:row>5</xdr:row>
      <xdr:rowOff>9525</xdr:rowOff>
    </xdr:from>
    <xdr:ext cx="425437" cy="280205"/>
    <xdr:sp macro="" textlink="">
      <xdr:nvSpPr>
        <xdr:cNvPr id="19" name="TextBox 18">
          <a:extLst>
            <a:ext uri="{FF2B5EF4-FFF2-40B4-BE49-F238E27FC236}">
              <a16:creationId xmlns:a16="http://schemas.microsoft.com/office/drawing/2014/main" id="{145C55A2-D6AD-4563-A9CB-C9C02695E752}"/>
            </a:ext>
          </a:extLst>
        </xdr:cNvPr>
        <xdr:cNvSpPr txBox="1"/>
      </xdr:nvSpPr>
      <xdr:spPr>
        <a:xfrm>
          <a:off x="9124950" y="819150"/>
          <a:ext cx="42543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SCR</a:t>
          </a:r>
        </a:p>
      </xdr:txBody>
    </xdr:sp>
    <xdr:clientData/>
  </xdr:oneCellAnchor>
  <xdr:oneCellAnchor>
    <xdr:from>
      <xdr:col>30</xdr:col>
      <xdr:colOff>377306</xdr:colOff>
      <xdr:row>5</xdr:row>
      <xdr:rowOff>9525</xdr:rowOff>
    </xdr:from>
    <xdr:ext cx="563167" cy="280205"/>
    <xdr:sp macro="" textlink="">
      <xdr:nvSpPr>
        <xdr:cNvPr id="20" name="TextBox 19">
          <a:extLst>
            <a:ext uri="{FF2B5EF4-FFF2-40B4-BE49-F238E27FC236}">
              <a16:creationId xmlns:a16="http://schemas.microsoft.com/office/drawing/2014/main" id="{AF3C40C8-0384-4ECC-A97E-76CA77A62A84}"/>
            </a:ext>
          </a:extLst>
        </xdr:cNvPr>
        <xdr:cNvSpPr txBox="1"/>
      </xdr:nvSpPr>
      <xdr:spPr>
        <a:xfrm>
          <a:off x="10159481" y="819150"/>
          <a:ext cx="56316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TRIAC</a:t>
          </a:r>
        </a:p>
      </xdr:txBody>
    </xdr:sp>
    <xdr:clientData/>
  </xdr:oneCellAnchor>
  <xdr:oneCellAnchor>
    <xdr:from>
      <xdr:col>32</xdr:col>
      <xdr:colOff>330367</xdr:colOff>
      <xdr:row>5</xdr:row>
      <xdr:rowOff>9525</xdr:rowOff>
    </xdr:from>
    <xdr:ext cx="717889" cy="280205"/>
    <xdr:sp macro="" textlink="">
      <xdr:nvSpPr>
        <xdr:cNvPr id="21" name="TextBox 20">
          <a:extLst>
            <a:ext uri="{FF2B5EF4-FFF2-40B4-BE49-F238E27FC236}">
              <a16:creationId xmlns:a16="http://schemas.microsoft.com/office/drawing/2014/main" id="{9A727505-FE95-49A9-8D7B-92AACA876567}"/>
            </a:ext>
          </a:extLst>
        </xdr:cNvPr>
        <xdr:cNvSpPr txBox="1"/>
      </xdr:nvSpPr>
      <xdr:spPr>
        <a:xfrm>
          <a:off x="11331742" y="819150"/>
          <a:ext cx="71788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MOSFET</a:t>
          </a:r>
        </a:p>
      </xdr:txBody>
    </xdr:sp>
    <xdr:clientData/>
  </xdr:oneCellAnchor>
  <xdr:oneCellAnchor>
    <xdr:from>
      <xdr:col>34</xdr:col>
      <xdr:colOff>438150</xdr:colOff>
      <xdr:row>5</xdr:row>
      <xdr:rowOff>9525</xdr:rowOff>
    </xdr:from>
    <xdr:ext cx="486159" cy="280205"/>
    <xdr:sp macro="" textlink="">
      <xdr:nvSpPr>
        <xdr:cNvPr id="22" name="TextBox 21">
          <a:extLst>
            <a:ext uri="{FF2B5EF4-FFF2-40B4-BE49-F238E27FC236}">
              <a16:creationId xmlns:a16="http://schemas.microsoft.com/office/drawing/2014/main" id="{91AD55FC-1010-48C2-B648-F87C8252BF40}"/>
            </a:ext>
          </a:extLst>
        </xdr:cNvPr>
        <xdr:cNvSpPr txBox="1"/>
      </xdr:nvSpPr>
      <xdr:spPr>
        <a:xfrm>
          <a:off x="12658725" y="819150"/>
          <a:ext cx="4861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IGBT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xdr:colOff>
      <xdr:row>62</xdr:row>
      <xdr:rowOff>114301</xdr:rowOff>
    </xdr:from>
    <xdr:to>
      <xdr:col>4</xdr:col>
      <xdr:colOff>581026</xdr:colOff>
      <xdr:row>68</xdr:row>
      <xdr:rowOff>138485</xdr:rowOff>
    </xdr:to>
    <xdr:grpSp>
      <xdr:nvGrpSpPr>
        <xdr:cNvPr id="6" name="Group 5">
          <a:extLst>
            <a:ext uri="{FF2B5EF4-FFF2-40B4-BE49-F238E27FC236}">
              <a16:creationId xmlns:a16="http://schemas.microsoft.com/office/drawing/2014/main" id="{00000000-0008-0000-0200-000006000000}"/>
            </a:ext>
          </a:extLst>
        </xdr:cNvPr>
        <xdr:cNvGrpSpPr>
          <a:grpSpLocks noChangeAspect="1"/>
        </xdr:cNvGrpSpPr>
      </xdr:nvGrpSpPr>
      <xdr:grpSpPr>
        <a:xfrm>
          <a:off x="1" y="4400551"/>
          <a:ext cx="4400550" cy="995734"/>
          <a:chOff x="203200" y="3409950"/>
          <a:chExt cx="4593947" cy="781050"/>
        </a:xfrm>
      </xdr:grpSpPr>
      <xdr:pic>
        <xdr:nvPicPr>
          <xdr:cNvPr id="9" name="Picture 8" descr="ti_logo_powerpoint_1_line.p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12</xdr:col>
      <xdr:colOff>152400</xdr:colOff>
      <xdr:row>0</xdr:row>
      <xdr:rowOff>45717</xdr:rowOff>
    </xdr:from>
    <xdr:to>
      <xdr:col>50</xdr:col>
      <xdr:colOff>552450</xdr:colOff>
      <xdr:row>57</xdr:row>
      <xdr:rowOff>142874</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010775" y="45717"/>
          <a:ext cx="10334625" cy="10117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Two-wire Mode Definitions: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EN </a:t>
          </a:r>
          <a:r>
            <a:rPr lang="en-US" sz="1100" baseline="0">
              <a:solidFill>
                <a:schemeClr val="dk1"/>
              </a:solidFill>
              <a:effectLst/>
              <a:latin typeface="+mn-lt"/>
              <a:ea typeface="+mn-ea"/>
              <a:cs typeface="+mn-cs"/>
            </a:rPr>
            <a:t>: The average current consumed by the EN pin. The amount of current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IN </a:t>
          </a:r>
          <a:r>
            <a:rPr lang="en-US" sz="1100" baseline="0">
              <a:solidFill>
                <a:schemeClr val="dk1"/>
              </a:solidFill>
              <a:effectLst/>
              <a:latin typeface="+mn-lt"/>
              <a:ea typeface="+mn-ea"/>
              <a:cs typeface="+mn-cs"/>
            </a:rPr>
            <a:t>: The amount of power consumed from the EN pin. The amount of power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r>
            <a:rPr lang="en-US" sz="1100"/>
            <a:t>P</a:t>
          </a:r>
          <a:r>
            <a:rPr lang="en-US" sz="1100" baseline="-25000"/>
            <a:t>OUT </a:t>
          </a:r>
          <a:r>
            <a:rPr lang="en-US" sz="1100" baseline="0"/>
            <a:t>: The amount of power transferred from EN pin to the secondary supply (VDDH). The amount of power transfer increases with higher R</a:t>
          </a:r>
          <a:r>
            <a:rPr lang="en-US" sz="1100" baseline="-25000"/>
            <a:t>DUTY</a:t>
          </a:r>
          <a:r>
            <a:rPr lang="en-US" sz="1100" baseline="0"/>
            <a:t> settings.</a:t>
          </a:r>
        </a:p>
        <a:p>
          <a:endParaRPr lang="en-US" sz="1100" baseline="0"/>
        </a:p>
        <a:p>
          <a:r>
            <a:rPr lang="en-US" sz="1100" baseline="0"/>
            <a:t>I</a:t>
          </a:r>
          <a:r>
            <a:rPr lang="en-US" sz="1100" baseline="-25000"/>
            <a:t>OUT</a:t>
          </a:r>
          <a:r>
            <a:rPr lang="en-US" sz="1100" baseline="0"/>
            <a:t> : The amount of current transferred to VDDH assuming a nominal VDDH.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a:t>
          </a:r>
          <a:r>
            <a:rPr lang="en-US" sz="1100" baseline="-25000">
              <a:solidFill>
                <a:schemeClr val="dk1"/>
              </a:solidFill>
              <a:effectLst/>
              <a:latin typeface="+mn-lt"/>
              <a:ea typeface="+mn-ea"/>
              <a:cs typeface="+mn-cs"/>
            </a:rPr>
            <a:t>START</a:t>
          </a:r>
          <a:r>
            <a:rPr lang="en-US" sz="1100" baseline="0">
              <a:solidFill>
                <a:schemeClr val="dk1"/>
              </a:solidFill>
              <a:effectLst/>
              <a:latin typeface="+mn-lt"/>
              <a:ea typeface="+mn-ea"/>
              <a:cs typeface="+mn-cs"/>
            </a:rPr>
            <a:t>: Total time to fully charge the VDDH and VDDM rails assuming fully discharged capacitances on VDDP, CDIV1, and CDIV2.  Represents the total start up time from when the EN pin is asserted high until VDDH reaches approximately its VDDH good rising threshold.  Once the VDDH good rising threshold is reached, VDRV will be asserted high. When the EN pin is asserted low, assuming VDDP is still valid, VDRV will be asserted low in 2.5us, typical.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Total time required to fully recover any charge loss on the VDDH supply due to switching the load. Like t</a:t>
          </a:r>
          <a:r>
            <a:rPr lang="en-US" sz="1100" baseline="-25000">
              <a:solidFill>
                <a:schemeClr val="dk1"/>
              </a:solidFill>
              <a:effectLst/>
              <a:latin typeface="+mn-lt"/>
              <a:ea typeface="+mn-ea"/>
              <a:cs typeface="+mn-cs"/>
            </a:rPr>
            <a:t>START</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decreases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 since more power is being transferred to replenish the charge lost during switching.  The recovery time is primarily based on the power transfer and the amount of loading.  </a:t>
          </a:r>
          <a:r>
            <a:rPr lang="en-US" sz="1100">
              <a:solidFill>
                <a:schemeClr val="dk1"/>
              </a:solidFill>
              <a:effectLst/>
              <a:latin typeface="+mn-lt"/>
              <a:ea typeface="+mn-ea"/>
              <a:cs typeface="+mn-cs"/>
            </a:rPr>
            <a:t>Higher Q</a:t>
          </a:r>
          <a:r>
            <a:rPr lang="en-US" sz="1100" baseline="-25000">
              <a:solidFill>
                <a:schemeClr val="dk1"/>
              </a:solidFill>
              <a:effectLst/>
              <a:latin typeface="+mn-lt"/>
              <a:ea typeface="+mn-ea"/>
              <a:cs typeface="+mn-cs"/>
            </a:rPr>
            <a:t>total</a:t>
          </a:r>
          <a:r>
            <a:rPr lang="en-US" sz="1100">
              <a:solidFill>
                <a:schemeClr val="dk1"/>
              </a:solidFill>
              <a:effectLst/>
              <a:latin typeface="+mn-lt"/>
              <a:ea typeface="+mn-ea"/>
              <a:cs typeface="+mn-cs"/>
            </a:rPr>
            <a:t> will increase</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since this charge needs to be replenished with every switch cycle.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Maximum frequency switching. It includes the startup time and recover times.</a:t>
          </a:r>
          <a:endParaRPr lang="en-US" sz="1100" baseline="0"/>
        </a:p>
        <a:p>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Three-wire Mode Definitions: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I</a:t>
          </a:r>
          <a:r>
            <a:rPr lang="en-US" sz="1100" baseline="-25000"/>
            <a:t>VDDP</a:t>
          </a:r>
          <a:r>
            <a:rPr lang="en-US" sz="1100" baseline="0"/>
            <a:t>: The average current consumed by VDDP. </a:t>
          </a:r>
          <a:r>
            <a:rPr lang="en-US" sz="1100" baseline="0">
              <a:solidFill>
                <a:schemeClr val="dk1"/>
              </a:solidFill>
              <a:effectLst/>
              <a:latin typeface="+mn-lt"/>
              <a:ea typeface="+mn-ea"/>
              <a:cs typeface="+mn-cs"/>
            </a:rPr>
            <a:t>The amount of current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IN </a:t>
          </a:r>
          <a:r>
            <a:rPr lang="en-US" sz="1100" baseline="0">
              <a:solidFill>
                <a:schemeClr val="dk1"/>
              </a:solidFill>
              <a:effectLst/>
              <a:latin typeface="+mn-lt"/>
              <a:ea typeface="+mn-ea"/>
              <a:cs typeface="+mn-cs"/>
            </a:rPr>
            <a:t>: The amount of power consumed from VDDP. The amount of power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OUT </a:t>
          </a:r>
          <a:r>
            <a:rPr lang="en-US" sz="1100" baseline="0">
              <a:solidFill>
                <a:schemeClr val="dk1"/>
              </a:solidFill>
              <a:effectLst/>
              <a:latin typeface="+mn-lt"/>
              <a:ea typeface="+mn-ea"/>
              <a:cs typeface="+mn-cs"/>
            </a:rPr>
            <a:t>: The amount of power transferred from the primary supply (VDDP) to the secondary supply (VDDH). The amount of power transfer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OUT</a:t>
          </a:r>
          <a:r>
            <a:rPr lang="en-US" sz="1100" baseline="0">
              <a:solidFill>
                <a:schemeClr val="dk1"/>
              </a:solidFill>
              <a:effectLst/>
              <a:latin typeface="+mn-lt"/>
              <a:ea typeface="+mn-ea"/>
              <a:cs typeface="+mn-cs"/>
            </a:rPr>
            <a:t> : The amount of current transferred to VDDH assuming a nominal VDDH.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OUT_CHG</a:t>
          </a:r>
          <a:r>
            <a:rPr lang="en-US" sz="1100" baseline="0">
              <a:solidFill>
                <a:schemeClr val="dk1"/>
              </a:solidFill>
              <a:effectLst/>
              <a:latin typeface="+mn-lt"/>
              <a:ea typeface="+mn-ea"/>
              <a:cs typeface="+mn-cs"/>
            </a:rPr>
            <a:t> : The amount of current available for charging the VDDH rail. When no auxiliary current has been entered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 = 0 mA), then I</a:t>
          </a:r>
          <a:r>
            <a:rPr lang="en-US" sz="1100" baseline="-25000">
              <a:solidFill>
                <a:schemeClr val="dk1"/>
              </a:solidFill>
              <a:effectLst/>
              <a:latin typeface="+mn-lt"/>
              <a:ea typeface="+mn-ea"/>
              <a:cs typeface="+mn-cs"/>
            </a:rPr>
            <a:t>OUT </a:t>
          </a:r>
          <a:r>
            <a:rPr lang="en-US" sz="1100" baseline="0">
              <a:solidFill>
                <a:schemeClr val="dk1"/>
              </a:solidFill>
              <a:effectLst/>
              <a:latin typeface="+mn-lt"/>
              <a:ea typeface="+mn-ea"/>
              <a:cs typeface="+mn-cs"/>
            </a:rPr>
            <a:t>= I</a:t>
          </a:r>
          <a:r>
            <a:rPr lang="en-US" sz="1100" baseline="-25000">
              <a:solidFill>
                <a:schemeClr val="dk1"/>
              </a:solidFill>
              <a:effectLst/>
              <a:latin typeface="+mn-lt"/>
              <a:ea typeface="+mn-ea"/>
              <a:cs typeface="+mn-cs"/>
            </a:rPr>
            <a:t>OUT_CHG</a:t>
          </a:r>
          <a:r>
            <a:rPr lang="en-US" sz="1100" baseline="0">
              <a:solidFill>
                <a:schemeClr val="dk1"/>
              </a:solidFill>
              <a:effectLst/>
              <a:latin typeface="+mn-lt"/>
              <a:ea typeface="+mn-ea"/>
              <a:cs typeface="+mn-cs"/>
            </a:rPr>
            <a:t>. If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 is not equal to 0 mA, then I</a:t>
          </a:r>
          <a:r>
            <a:rPr lang="en-US" sz="1100" baseline="-25000">
              <a:solidFill>
                <a:schemeClr val="dk1"/>
              </a:solidFill>
              <a:effectLst/>
              <a:latin typeface="+mn-lt"/>
              <a:ea typeface="+mn-ea"/>
              <a:cs typeface="+mn-cs"/>
            </a:rPr>
            <a:t>OUT</a:t>
          </a:r>
          <a:r>
            <a:rPr lang="en-US" sz="1100" baseline="0">
              <a:solidFill>
                <a:schemeClr val="dk1"/>
              </a:solidFill>
              <a:effectLst/>
              <a:latin typeface="+mn-lt"/>
              <a:ea typeface="+mn-ea"/>
              <a:cs typeface="+mn-cs"/>
            </a:rPr>
            <a:t> current will be reduced accordingly. If power requirements exceeds the power that can be delivered, the result will change to N/A and will be highlighted in red.</a:t>
          </a:r>
          <a:endParaRPr lang="en-US">
            <a:effectLst/>
          </a:endParaRP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t</a:t>
          </a:r>
          <a:r>
            <a:rPr lang="en-US" sz="1100" baseline="-25000"/>
            <a:t>START</a:t>
          </a:r>
          <a:r>
            <a:rPr lang="en-US" sz="1100" baseline="0"/>
            <a:t>: Total time to fully charge the VDDH and VDDM rails </a:t>
          </a:r>
          <a:r>
            <a:rPr lang="en-US" sz="1100" baseline="0">
              <a:solidFill>
                <a:schemeClr val="dk1"/>
              </a:solidFill>
              <a:effectLst/>
              <a:latin typeface="+mn-lt"/>
              <a:ea typeface="+mn-ea"/>
              <a:cs typeface="+mn-cs"/>
            </a:rPr>
            <a:t>assuming fully discharged capacitances on VDDP, CDIV1, and CDIV2</a:t>
          </a:r>
          <a:r>
            <a:rPr lang="en-US" sz="1100" baseline="0"/>
            <a:t>. Represents the total startup time from when VDDP is applied, and when </a:t>
          </a:r>
          <a:r>
            <a:rPr lang="en-US" sz="1100" baseline="0">
              <a:solidFill>
                <a:schemeClr val="dk1"/>
              </a:solidFill>
              <a:effectLst/>
              <a:latin typeface="+mn-lt"/>
              <a:ea typeface="+mn-ea"/>
              <a:cs typeface="+mn-cs"/>
            </a:rPr>
            <a:t>VDDH reaches approximately its steady state value.</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t</a:t>
          </a:r>
          <a:r>
            <a:rPr lang="en-US" sz="1100" baseline="-25000"/>
            <a:t>RECOVER</a:t>
          </a:r>
          <a:r>
            <a:rPr lang="en-US" sz="1100" baseline="0"/>
            <a:t>: Total time required to fully recover any charge loss on the VDDH supply due to switching the load. Like t</a:t>
          </a:r>
          <a:r>
            <a:rPr lang="en-US" sz="1100" baseline="-25000"/>
            <a:t>START</a:t>
          </a:r>
          <a:r>
            <a:rPr lang="en-US" sz="1100" baseline="0"/>
            <a:t>, t</a:t>
          </a:r>
          <a:r>
            <a:rPr lang="en-US" sz="1100" baseline="-25000"/>
            <a:t>RECOVER</a:t>
          </a:r>
          <a:r>
            <a:rPr lang="en-US" sz="1100" baseline="0"/>
            <a:t> decreases with </a:t>
          </a:r>
          <a:r>
            <a:rPr lang="en-US" sz="1100" baseline="0">
              <a:solidFill>
                <a:schemeClr val="dk1"/>
              </a:solidFill>
              <a:effectLst/>
              <a:latin typeface="+mn-lt"/>
              <a:ea typeface="+mn-ea"/>
              <a:cs typeface="+mn-cs"/>
            </a:rPr>
            <a:t>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 since more power is being transferred to replenish the charge lost during switching.</a:t>
          </a:r>
          <a:r>
            <a:rPr lang="en-US" sz="1100" baseline="0"/>
            <a:t>  The recovery time is primarily based on the power transfer and the amount of loading.  </a:t>
          </a:r>
          <a:r>
            <a:rPr lang="en-US" sz="1100">
              <a:solidFill>
                <a:schemeClr val="dk1"/>
              </a:solidFill>
              <a:effectLst/>
              <a:latin typeface="+mn-lt"/>
              <a:ea typeface="+mn-ea"/>
              <a:cs typeface="+mn-cs"/>
            </a:rPr>
            <a:t>Higher Qload will increase</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since this charge needs to be replenished with every switch cycle. </a:t>
          </a:r>
          <a:endParaRPr lang="en-US" sz="1100" baseline="0"/>
        </a:p>
        <a:p>
          <a:endParaRPr lang="en-US" sz="1100" baseline="0"/>
        </a:p>
        <a:p>
          <a:pPr eaLnBrk="1" fontAlgn="auto" latinLnBrk="0" hangingPunct="1"/>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Maximum frequency switching. Inludes only includes the recover time,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 The maximum frequency achievable is constrained to 100 kHz maximum. There is an inverse relationship with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and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Increasing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for a given power transfer setting will result in lower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Increasing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for a given power transfer setting will result in a lower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a:t>
          </a:r>
          <a:endParaRPr lang="en-US">
            <a:effectLst/>
          </a:endParaRPr>
        </a:p>
        <a:p>
          <a:endParaRPr lang="en-US" sz="1100" baseline="0"/>
        </a:p>
        <a:p>
          <a:r>
            <a:rPr lang="en-US" sz="1100" baseline="0"/>
            <a:t>I</a:t>
          </a:r>
          <a:r>
            <a:rPr lang="en-US" sz="1100" baseline="-25000"/>
            <a:t>AUX_MAX</a:t>
          </a:r>
          <a:r>
            <a:rPr lang="en-US" sz="1100" baseline="0"/>
            <a:t>: Maximum auxillary current available from VDDM based on the current settings. There is an inverse relationship with I</a:t>
          </a:r>
          <a:r>
            <a:rPr lang="en-US" sz="1100" baseline="-25000"/>
            <a:t>AUX_MAX </a:t>
          </a:r>
          <a:r>
            <a:rPr lang="en-US" sz="1100" baseline="0"/>
            <a:t>and f</a:t>
          </a:r>
          <a:r>
            <a:rPr lang="en-US" sz="1100" baseline="-25000"/>
            <a:t>MAX</a:t>
          </a:r>
          <a:r>
            <a:rPr lang="en-US" sz="1100" baseline="0"/>
            <a:t>. Increasing </a:t>
          </a: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AUX_MAX </a:t>
          </a:r>
          <a:r>
            <a:rPr lang="en-US" sz="1100" baseline="0"/>
            <a:t>for a given power transfer setting will result in lower </a:t>
          </a: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t>. Increasing </a:t>
          </a: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t> for a given power transfer setting will result in a lower </a:t>
          </a: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AUX_MAX </a:t>
          </a:r>
          <a:r>
            <a:rPr lang="en-US" sz="1100" baseline="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4762500</xdr:colOff>
      <xdr:row>0</xdr:row>
      <xdr:rowOff>95250</xdr:rowOff>
    </xdr:from>
    <xdr:to>
      <xdr:col>9</xdr:col>
      <xdr:colOff>38100</xdr:colOff>
      <xdr:row>5</xdr:row>
      <xdr:rowOff>39926</xdr:rowOff>
    </xdr:to>
    <xdr:grpSp>
      <xdr:nvGrpSpPr>
        <xdr:cNvPr id="2" name="Group 1">
          <a:extLst>
            <a:ext uri="{FF2B5EF4-FFF2-40B4-BE49-F238E27FC236}">
              <a16:creationId xmlns:a16="http://schemas.microsoft.com/office/drawing/2014/main" id="{DD30C29D-04DD-443A-874F-4ABDAB01753E}"/>
            </a:ext>
          </a:extLst>
        </xdr:cNvPr>
        <xdr:cNvGrpSpPr>
          <a:grpSpLocks noChangeAspect="1"/>
        </xdr:cNvGrpSpPr>
      </xdr:nvGrpSpPr>
      <xdr:grpSpPr>
        <a:xfrm>
          <a:off x="5372100" y="95250"/>
          <a:ext cx="4391025" cy="754301"/>
          <a:chOff x="203200" y="3409950"/>
          <a:chExt cx="4593947" cy="781050"/>
        </a:xfrm>
      </xdr:grpSpPr>
      <xdr:pic>
        <xdr:nvPicPr>
          <xdr:cNvPr id="3" name="Picture 2" descr="ti_logo_powerpoint_1_line.png">
            <a:extLst>
              <a:ext uri="{FF2B5EF4-FFF2-40B4-BE49-F238E27FC236}">
                <a16:creationId xmlns:a16="http://schemas.microsoft.com/office/drawing/2014/main" id="{7CB310FE-6892-44D3-B3CE-2D07FEC81A97}"/>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4" name="Picture 3">
            <a:extLst>
              <a:ext uri="{FF2B5EF4-FFF2-40B4-BE49-F238E27FC236}">
                <a16:creationId xmlns:a16="http://schemas.microsoft.com/office/drawing/2014/main" id="{0916BF10-DF80-48D8-8AE9-01F52237E166}"/>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Normal="100" workbookViewId="0">
      <selection activeCell="E34" sqref="E34"/>
    </sheetView>
  </sheetViews>
  <sheetFormatPr defaultRowHeight="12.75" x14ac:dyDescent="0.2"/>
  <sheetData/>
  <sheetProtection password="A3CD" sheet="1" objects="1" scenarios="1" selectLockedCells="1" selectUnlockedCells="1"/>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AU85"/>
  <sheetViews>
    <sheetView showGridLines="0" zoomScaleNormal="100" workbookViewId="0">
      <selection activeCell="B57" sqref="B57"/>
    </sheetView>
  </sheetViews>
  <sheetFormatPr defaultRowHeight="12.75" x14ac:dyDescent="0.2"/>
  <cols>
    <col min="1" max="1" width="16.42578125" customWidth="1"/>
    <col min="2" max="2" width="22" bestFit="1" customWidth="1"/>
    <col min="3" max="3" width="4.28515625" customWidth="1"/>
    <col min="4" max="4" width="85.7109375" customWidth="1"/>
    <col min="7" max="7" width="9.140625" customWidth="1"/>
    <col min="8" max="30" width="9.140625" hidden="1" customWidth="1"/>
    <col min="31" max="31" width="0" hidden="1" customWidth="1"/>
  </cols>
  <sheetData>
    <row r="4" spans="1:47" x14ac:dyDescent="0.2">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row>
    <row r="5" spans="1:47"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row>
    <row r="6" spans="1:47" ht="25.5" customHeight="1" x14ac:dyDescent="0.2">
      <c r="A6" s="1" t="s">
        <v>77</v>
      </c>
      <c r="B6" s="26" t="s">
        <v>201</v>
      </c>
      <c r="C6" s="121" t="s">
        <v>78</v>
      </c>
      <c r="D6" s="121"/>
    </row>
    <row r="7" spans="1:47" ht="30" customHeight="1" x14ac:dyDescent="0.2">
      <c r="A7" s="67" t="s">
        <v>18</v>
      </c>
      <c r="B7" s="26" t="s">
        <v>195</v>
      </c>
      <c r="C7" s="116" t="s">
        <v>198</v>
      </c>
      <c r="D7" s="117"/>
      <c r="E7" s="41"/>
      <c r="F7" s="7"/>
      <c r="G7" s="7"/>
      <c r="H7" s="7"/>
    </row>
    <row r="8" spans="1:47" ht="30" customHeight="1" x14ac:dyDescent="0.2">
      <c r="A8" s="67" t="s">
        <v>70</v>
      </c>
      <c r="B8" s="26">
        <v>3</v>
      </c>
      <c r="C8" s="119" t="str">
        <f>IF(AND(B8=2, OR(B6="TPSI3050S", B6="TPSI3052S")), "      ERROR: S-version devices only supported in three-wire mode.",
 "      Select 2 for two-wire mode. 
      Select 3 for three-wire mode. S-version devices only supported in three-wire mode.")</f>
        <v xml:space="preserve">      Select 2 for two-wire mode. 
      Select 3 for three-wire mode. S-version devices only supported in three-wire mode.</v>
      </c>
      <c r="D8" s="120"/>
      <c r="E8" s="41"/>
      <c r="F8" s="7"/>
      <c r="G8" s="7"/>
      <c r="H8" s="7"/>
      <c r="AO8" t="s">
        <v>138</v>
      </c>
    </row>
    <row r="9" spans="1:47" ht="30" customHeight="1" x14ac:dyDescent="0.3">
      <c r="A9" s="67" t="s">
        <v>93</v>
      </c>
      <c r="B9" s="26">
        <v>25</v>
      </c>
      <c r="C9" s="76" t="s">
        <v>94</v>
      </c>
      <c r="D9" s="138" t="str">
        <f>IF($B6="TPSI3050M",IF(AND($B$9&gt;=-55,$B$9&lt;=125),"Ambient temperature.","ERROR: Invalid temperature entered. Correct temperature entry before continuing."),IF(AND($B$9&gt;=-40,$B$9&lt;=125),"Ambient temperature.","ERROR: Invalid temperature entered. Correct temperature entry before continuing."))</f>
        <v>Ambient temperature.</v>
      </c>
      <c r="E9" s="41"/>
      <c r="F9" s="7"/>
      <c r="G9" s="7"/>
      <c r="H9" s="7"/>
    </row>
    <row r="10" spans="1:47" ht="30" customHeight="1" x14ac:dyDescent="0.3">
      <c r="A10" s="3" t="s">
        <v>61</v>
      </c>
      <c r="B10" s="39">
        <v>220</v>
      </c>
      <c r="C10" s="3" t="s">
        <v>35</v>
      </c>
      <c r="D10" s="44" t="s">
        <v>38</v>
      </c>
      <c r="E10" s="45"/>
      <c r="F10" s="46"/>
      <c r="G10" s="46"/>
      <c r="H10" s="46"/>
    </row>
    <row r="11" spans="1:47" ht="30" customHeight="1" x14ac:dyDescent="0.2">
      <c r="A11" s="1" t="s">
        <v>2</v>
      </c>
      <c r="B11" s="38">
        <v>5</v>
      </c>
      <c r="C11" s="1" t="s">
        <v>3</v>
      </c>
      <c r="D11" s="44" t="s">
        <v>51</v>
      </c>
      <c r="E11" s="45"/>
      <c r="F11" s="46"/>
      <c r="G11" s="46"/>
      <c r="H11" s="46"/>
    </row>
    <row r="12" spans="1:47" ht="15.75" x14ac:dyDescent="0.3">
      <c r="A12" s="1" t="s">
        <v>98</v>
      </c>
      <c r="B12" s="65">
        <v>7.32</v>
      </c>
      <c r="C12" s="49" t="s">
        <v>97</v>
      </c>
      <c r="D12" s="44" t="str">
        <f>IF(B$27="N/A",CONCATENATE("Power transfer resistor setting. ","ERROR: Power requirements too high for the device even at the highest power transfer setting. ",
"Decrease load requirements by reducing auxiliary current (IAUX), enable switching frequency (FEN), or total gate charge (QTOTAL)."),CONCATENATE("Power transfer resistor setting. Maximum power transfer with current settings is ",ROUND(B26,2)," mW."))</f>
        <v>Power transfer resistor setting. Maximum power transfer with current settings is 8.2 mW.</v>
      </c>
      <c r="E12" s="45"/>
      <c r="F12" s="46"/>
      <c r="G12" s="46"/>
      <c r="H12" s="46"/>
    </row>
    <row r="13" spans="1:47" ht="65.25" customHeight="1" x14ac:dyDescent="0.3">
      <c r="A13" s="1" t="s">
        <v>41</v>
      </c>
      <c r="B13" s="38">
        <v>0</v>
      </c>
      <c r="C13" s="1" t="s">
        <v>11</v>
      </c>
      <c r="D13" s="44" t="str">
        <f>IF(B$27="N/A", CONCATENATE("Auxiliary current from VDDM supply. ","ERROR: Power requirements too high for the device even at the highest power transfer setting. ",
"Decrease load requirements by reducing auxiliary current (IAUX), enable switching frequency (FEN), or total gate charge (QTOTAL)."), IF(OR(B$13&gt;B$19, B$19="N/A"),CONCATENATE("Auxiliary current from VDDM supply. ","ERROR: Power requirements too high for desired power transfer resistor setting.
Increase setting of RPXFR to greater than or equal to ",B$27," kΩ  or decrease load requirements by reducing auxiliary current (IAUX), enable switching frequency (FEN), or total gate charge (QTOTAL)."),CONCATENATE("Auxiliary current from VDDM supply. Maximum possible with current settings is ",ROUND(B19,2)," mA.")))</f>
        <v>Auxiliary current from VDDM supply. Maximum possible with current settings is 1.61 mA.</v>
      </c>
      <c r="E13" s="41"/>
      <c r="F13" s="7"/>
      <c r="G13" s="7"/>
      <c r="H13" s="7"/>
    </row>
    <row r="14" spans="1:47" ht="65.25" customHeight="1" x14ac:dyDescent="0.3">
      <c r="A14" s="3" t="s">
        <v>107</v>
      </c>
      <c r="B14" s="38">
        <v>0</v>
      </c>
      <c r="C14" s="3" t="s">
        <v>100</v>
      </c>
      <c r="D14" s="44" t="str">
        <f>IF(B$27="N/A",CONCATENATE("Enable switching frequency. ","ERROR: Power requirements too high for the device even at the highest power transfer setting. ",
"Decrease load requirements by reducing auxiliary current (IAUX), enable switching frequency (FEN), or total gate charge (QTOTAL)."),IF(B28="N",CONCATENATE("ERROR: Power requirements too high at the current settings. Increase setting of RPXFR to greater than or equal to ",B$27," kΩ  or decrease load requirements by reducing auxiliary current (IAUX), enable switching frequency (FEN), or total gate charge (QTOTAL)."), IF(B14&gt;B20,CONCATENATE("ERROR: Maximum frequency exceeded. Maximum frequency possible with current settings is  ",ROUNDDOWN(B20,3)," kHz."),CONCATENATE("Enable switching frequency. Maximum possible with current settings is  ",ROUNDDOWN(B20,2)," kHz."))))</f>
        <v>Enable switching frequency. Maximum possible with current settings is  20.29 kHz.</v>
      </c>
      <c r="E14" s="7"/>
      <c r="F14" s="7"/>
      <c r="G14" s="7"/>
      <c r="H14" s="7"/>
    </row>
    <row r="15" spans="1:47" x14ac:dyDescent="0.2">
      <c r="A15" s="5"/>
      <c r="B15" s="86"/>
      <c r="C15" s="5"/>
      <c r="D15" s="66"/>
      <c r="E15" s="7"/>
      <c r="F15" s="7"/>
      <c r="G15" s="7"/>
      <c r="H15" s="7"/>
    </row>
    <row r="16" spans="1:47" hidden="1" x14ac:dyDescent="0.2"/>
    <row r="17" spans="1:4" hidden="1" x14ac:dyDescent="0.2">
      <c r="A17" s="56"/>
      <c r="D17" s="66"/>
    </row>
    <row r="18" spans="1:4" hidden="1" x14ac:dyDescent="0.2">
      <c r="A18" t="s">
        <v>39</v>
      </c>
      <c r="B18">
        <v>3500</v>
      </c>
      <c r="C18" t="s">
        <v>13</v>
      </c>
      <c r="D18" t="s">
        <v>40</v>
      </c>
    </row>
    <row r="19" spans="1:4" ht="15.75" hidden="1" x14ac:dyDescent="0.3">
      <c r="A19" t="s">
        <v>52</v>
      </c>
      <c r="B19" s="79">
        <f>IF($B$8=3,VLOOKUP(B$12,'POWER TRANSFER'!$A$55:$Z$61,12),VLOOKUP(B$12,'POWER TRANSFER'!$A$43:$Z$50,12))</f>
        <v>1.6077324279125975</v>
      </c>
      <c r="C19" t="s">
        <v>11</v>
      </c>
      <c r="D19" t="s">
        <v>119</v>
      </c>
    </row>
    <row r="20" spans="1:4" ht="15.75" hidden="1" x14ac:dyDescent="0.3">
      <c r="A20" t="s">
        <v>102</v>
      </c>
      <c r="B20" s="82">
        <f>IF($B$8=3,VLOOKUP(B$12,'POWER TRANSFER'!$A$55:$Z$61,11),VLOOKUP(B$12,'POWER TRANSFER'!$A$43:$Z$50,11))</f>
        <v>20.29563213454022</v>
      </c>
      <c r="C20" t="s">
        <v>100</v>
      </c>
      <c r="D20" t="s">
        <v>118</v>
      </c>
    </row>
    <row r="21" spans="1:4" ht="15.75" hidden="1" x14ac:dyDescent="0.3">
      <c r="A21" t="s">
        <v>104</v>
      </c>
      <c r="B21" s="104">
        <f>IF($B$8=3,VLOOKUP(B$12,'POWER TRANSFER'!$A$55:$Z$61,22),VLOOKUP(B$12,'POWER TRANSFER'!$A$43:$Z$50,23))</f>
        <v>2.2075000000000001E-5</v>
      </c>
      <c r="C21" t="s">
        <v>103</v>
      </c>
      <c r="D21" t="s">
        <v>193</v>
      </c>
    </row>
    <row r="22" spans="1:4" ht="15.75" hidden="1" x14ac:dyDescent="0.3">
      <c r="A22" t="s">
        <v>81</v>
      </c>
      <c r="B22" s="77">
        <f>IF(B7="F", B56,B47)</f>
        <v>40</v>
      </c>
      <c r="C22" t="s">
        <v>13</v>
      </c>
      <c r="D22" t="s">
        <v>194</v>
      </c>
    </row>
    <row r="23" spans="1:4" ht="15.75" hidden="1" x14ac:dyDescent="0.3">
      <c r="A23" t="s">
        <v>108</v>
      </c>
      <c r="B23" s="81">
        <f xml:space="preserve"> VDDH*QTOTAL*fEN/1000</f>
        <v>0</v>
      </c>
      <c r="C23" t="s">
        <v>101</v>
      </c>
      <c r="D23" t="s">
        <v>111</v>
      </c>
    </row>
    <row r="24" spans="1:4" ht="15.75" hidden="1" x14ac:dyDescent="0.3">
      <c r="A24" t="s">
        <v>109</v>
      </c>
      <c r="B24" s="81">
        <f>VDDM*IAUX</f>
        <v>0</v>
      </c>
      <c r="C24" t="s">
        <v>101</v>
      </c>
      <c r="D24" t="s">
        <v>112</v>
      </c>
    </row>
    <row r="25" spans="1:4" ht="15.75" hidden="1" x14ac:dyDescent="0.3">
      <c r="A25" t="s">
        <v>110</v>
      </c>
      <c r="B25" s="48">
        <f>SUM(B23:B24)</f>
        <v>0</v>
      </c>
      <c r="C25" t="s">
        <v>101</v>
      </c>
      <c r="D25" t="s">
        <v>113</v>
      </c>
    </row>
    <row r="26" spans="1:4" ht="15.75" hidden="1" x14ac:dyDescent="0.3">
      <c r="A26" t="s">
        <v>105</v>
      </c>
      <c r="B26" s="48">
        <f>IF($B$8=3,VLOOKUP(B$12,'POWER TRANSFER'!$A$55:$Z$61,7),VLOOKUP(B$12,'POWER TRANSFER'!$A$43:$Z$50,7))</f>
        <v>8.1994353823542472</v>
      </c>
      <c r="C26" t="s">
        <v>101</v>
      </c>
      <c r="D26" t="s">
        <v>114</v>
      </c>
    </row>
    <row r="27" spans="1:4" ht="15.75" hidden="1" x14ac:dyDescent="0.3">
      <c r="A27" s="6" t="s">
        <v>106</v>
      </c>
      <c r="B27" s="79">
        <f>IF(B8=3, IF(B$25&lt;'POWER TRANSFER'!G55,'POWER TRANSFER'!A55,IF(B$25&lt;'POWER TRANSFER'!G56,'POWER TRANSFER'!A56,IF(B$25&lt;'POWER TRANSFER'!G57,'POWER TRANSFER'!A57,IF(B$25&lt;'POWER TRANSFER'!G58,'POWER TRANSFER'!A58,IF(B$25&lt;'POWER TRANSFER'!G59,'POWER TRANSFER'!A59,IF(B$25&lt;'POWER TRANSFER'!G60,'POWER TRANSFER'!A60,IF(B$25&lt;'POWER TRANSFER'!G61,'POWER TRANSFER'!A61,"N/A"))))))),   IF(B$25&lt;'POWER TRANSFER'!G44,'POWER TRANSFER'!A44,IF(B$25&lt;'POWER TRANSFER'!G45,'POWER TRANSFER'!A45,IF(B$25&lt;'POWER TRANSFER'!G46,'POWER TRANSFER'!A46,IF(B$25&lt;'POWER TRANSFER'!G47,'POWER TRANSFER'!A47,IF(B$25&lt;'POWER TRANSFER'!G48,'POWER TRANSFER'!A48,IF(B$25&lt;'POWER TRANSFER'!G49,'POWER TRANSFER'!A49,IF(B$25&lt;'POWER TRANSFER'!G50,'POWER TRANSFER'!A50,"N/A"))))))) )</f>
        <v>7.32</v>
      </c>
      <c r="C27" s="78" t="s">
        <v>97</v>
      </c>
      <c r="D27" t="s">
        <v>115</v>
      </c>
    </row>
    <row r="28" spans="1:4" hidden="1" x14ac:dyDescent="0.2">
      <c r="A28" s="5" t="s">
        <v>134</v>
      </c>
      <c r="B28" s="79" t="str">
        <f>IF(B26&gt;=B25, "Y", "N")</f>
        <v>Y</v>
      </c>
      <c r="C28" s="78"/>
    </row>
    <row r="29" spans="1:4" ht="13.5" hidden="1" customHeight="1" x14ac:dyDescent="0.2">
      <c r="A29" s="5" t="s">
        <v>199</v>
      </c>
      <c r="B29" s="80" t="str">
        <f>IF(COUNTIF($D36:$D52:C8:D8:D14,"*"&amp;"ERROR"&amp;"*")&gt;0,"ERROR","NONE")</f>
        <v>NONE</v>
      </c>
      <c r="C29" s="78"/>
    </row>
    <row r="30" spans="1:4" ht="13.5" hidden="1" customHeight="1" x14ac:dyDescent="0.2">
      <c r="A30" s="6"/>
      <c r="B30" s="82"/>
      <c r="C30" s="78"/>
      <c r="D30">
        <f>COUNTIF(D36:D52,"*"&amp;"ERROR"&amp;"*")</f>
        <v>0</v>
      </c>
    </row>
    <row r="31" spans="1:4" ht="13.5" customHeight="1" x14ac:dyDescent="0.2">
      <c r="C31" s="78"/>
    </row>
    <row r="32" spans="1:4" ht="13.5" customHeight="1" x14ac:dyDescent="0.2">
      <c r="A32" s="6"/>
      <c r="B32" s="79"/>
      <c r="C32" s="78"/>
    </row>
    <row r="34" spans="1:7" ht="18" x14ac:dyDescent="0.25">
      <c r="A34" s="12" t="s">
        <v>15</v>
      </c>
      <c r="G34" s="47"/>
    </row>
    <row r="35" spans="1:7" x14ac:dyDescent="0.2">
      <c r="A35" s="107"/>
      <c r="B35" s="107"/>
      <c r="C35" s="107"/>
      <c r="D35" s="107"/>
      <c r="G35" s="47"/>
    </row>
    <row r="36" spans="1:7" ht="15.75" x14ac:dyDescent="0.3">
      <c r="A36" s="49" t="s">
        <v>182</v>
      </c>
      <c r="B36" s="115">
        <v>1.2</v>
      </c>
      <c r="C36" s="49" t="s">
        <v>3</v>
      </c>
      <c r="D36" s="49" t="s">
        <v>183</v>
      </c>
      <c r="G36" s="47"/>
    </row>
    <row r="37" spans="1:7" ht="15.75" x14ac:dyDescent="0.3">
      <c r="A37" s="49" t="s">
        <v>185</v>
      </c>
      <c r="B37" s="115">
        <v>250</v>
      </c>
      <c r="C37" s="49" t="s">
        <v>176</v>
      </c>
      <c r="D37" s="49" t="s">
        <v>184</v>
      </c>
      <c r="G37" s="47"/>
    </row>
    <row r="38" spans="1:7" ht="15.75" x14ac:dyDescent="0.3">
      <c r="A38" s="49" t="s">
        <v>187</v>
      </c>
      <c r="B38" s="115">
        <v>30</v>
      </c>
      <c r="C38" s="49" t="s">
        <v>11</v>
      </c>
      <c r="D38" s="49" t="s">
        <v>188</v>
      </c>
      <c r="G38" s="47"/>
    </row>
    <row r="39" spans="1:7" ht="15.75" x14ac:dyDescent="0.3">
      <c r="A39" s="49" t="s">
        <v>186</v>
      </c>
      <c r="B39" s="115">
        <v>3</v>
      </c>
      <c r="C39" s="1" t="s">
        <v>12</v>
      </c>
      <c r="D39" s="49" t="str">
        <f>IF(AND(tGT &gt; 2.5, OR(B6="TPSI3050S", B6="TPSI3052S")), "ERROR: Must be 2.5us or less for S-version devices.", "SCR/TRIAC turn-on time.")</f>
        <v>SCR/TRIAC turn-on time.</v>
      </c>
      <c r="G39" s="47"/>
    </row>
    <row r="40" spans="1:7" x14ac:dyDescent="0.2">
      <c r="A40" s="49" t="s">
        <v>45</v>
      </c>
      <c r="B40" s="43">
        <v>3</v>
      </c>
      <c r="C40" s="1"/>
      <c r="D40" s="1" t="str">
        <f>IF($B$6="TPSI3050", IF(B40&lt;1, "ERROR: Ratio of CDIV2 to CDIV1 must be greater than or equal to 1.0.", "Ratio of CDIV2 to CDIV1."),  IF(B40&lt;3, "ERROR: Ratio of CDIV2 to CDIV1 must be greater than or equal to 3.0.", "Ratio of CDIV2 to CDIV1."))</f>
        <v>Ratio of CDIV2 to CDIV1.</v>
      </c>
      <c r="G40" s="47"/>
    </row>
    <row r="41" spans="1:7" ht="15.75" x14ac:dyDescent="0.3">
      <c r="A41" s="1" t="s">
        <v>14</v>
      </c>
      <c r="B41" s="25">
        <v>1</v>
      </c>
      <c r="C41" s="1" t="s">
        <v>3</v>
      </c>
      <c r="D41" s="1" t="s">
        <v>189</v>
      </c>
      <c r="G41" s="47"/>
    </row>
    <row r="42" spans="1:7" ht="15.75" x14ac:dyDescent="0.3">
      <c r="A42" s="1" t="s">
        <v>196</v>
      </c>
      <c r="B42" s="25">
        <v>15</v>
      </c>
      <c r="C42" s="1" t="s">
        <v>12</v>
      </c>
      <c r="D42" s="1" t="str">
        <f>IF(B42&lt;B43, "ERROR: tEN &lt; tEN_min. Increase tEN.", "EN high time.")</f>
        <v>EN high time.</v>
      </c>
      <c r="G42" s="47"/>
    </row>
    <row r="43" spans="1:7" ht="15.75" x14ac:dyDescent="0.3">
      <c r="A43" s="49" t="s">
        <v>197</v>
      </c>
      <c r="B43" s="110">
        <f>IF(OR(B6="TPSI3050S", B6="TPSI3052S"), 5, MAX(B39+3.5,5))</f>
        <v>6.5</v>
      </c>
      <c r="C43" s="1" t="s">
        <v>12</v>
      </c>
      <c r="D43" s="49" t="s">
        <v>190</v>
      </c>
      <c r="G43" s="47"/>
    </row>
    <row r="44" spans="1:7" ht="15.75" x14ac:dyDescent="0.3">
      <c r="A44" s="49" t="s">
        <v>177</v>
      </c>
      <c r="B44" s="109">
        <f>1000*(VDDH-B36)/B37</f>
        <v>35.6</v>
      </c>
      <c r="C44" s="49" t="s">
        <v>11</v>
      </c>
      <c r="D44" s="49" t="s">
        <v>180</v>
      </c>
      <c r="G44" s="47"/>
    </row>
    <row r="45" spans="1:7" ht="15.75" x14ac:dyDescent="0.3">
      <c r="A45" s="49" t="s">
        <v>178</v>
      </c>
      <c r="B45" s="109">
        <f>1000*(VDDH-B41-VTP)/RLIMIT</f>
        <v>31.599999999999998</v>
      </c>
      <c r="C45" s="49" t="s">
        <v>11</v>
      </c>
      <c r="D45" s="49" t="str">
        <f>IF(B38&gt;ITRIG_MIN, "ERROR: IGT_MIN &lt; IGT. Reduce RLIMIT or VDDHdroop", "Computed trigger current at end of trigger pulse.")</f>
        <v>Computed trigger current at end of trigger pulse.</v>
      </c>
      <c r="G45" s="47"/>
    </row>
    <row r="46" spans="1:7" ht="15.75" x14ac:dyDescent="0.3">
      <c r="A46" s="49" t="s">
        <v>179</v>
      </c>
      <c r="B46" s="109">
        <f>AVERAGE(B44:B45)</f>
        <v>33.6</v>
      </c>
      <c r="C46" s="49" t="s">
        <v>11</v>
      </c>
      <c r="D46" s="49" t="s">
        <v>181</v>
      </c>
      <c r="G46" s="47"/>
    </row>
    <row r="47" spans="1:7" ht="15.75" x14ac:dyDescent="0.3">
      <c r="A47" s="1" t="s">
        <v>81</v>
      </c>
      <c r="B47" s="108">
        <f>IF(OR(B6="TPSI3050S", B6="TPSI3052S"), B46*2.5, B46*B42)</f>
        <v>504</v>
      </c>
      <c r="C47" s="111" t="s">
        <v>13</v>
      </c>
      <c r="D47" s="1" t="s">
        <v>34</v>
      </c>
    </row>
    <row r="48" spans="1:7" ht="15.75" x14ac:dyDescent="0.3">
      <c r="A48" s="1" t="s">
        <v>62</v>
      </c>
      <c r="B48" s="112">
        <f>((B40+1)/B40)*B47/B41</f>
        <v>672</v>
      </c>
      <c r="C48" s="111" t="s">
        <v>35</v>
      </c>
      <c r="D48" s="1" t="s">
        <v>59</v>
      </c>
    </row>
    <row r="49" spans="1:4" ht="15.75" x14ac:dyDescent="0.3">
      <c r="A49" s="1" t="s">
        <v>63</v>
      </c>
      <c r="B49" s="109">
        <f>B40*B48</f>
        <v>2016</v>
      </c>
      <c r="C49" s="111" t="s">
        <v>35</v>
      </c>
      <c r="D49" s="1" t="s">
        <v>60</v>
      </c>
    </row>
    <row r="50" spans="1:4" ht="15.75" hidden="1" x14ac:dyDescent="0.3">
      <c r="A50" s="1" t="s">
        <v>79</v>
      </c>
      <c r="B50" s="113">
        <f>1/(1/B48+1/B49)</f>
        <v>504</v>
      </c>
      <c r="C50" s="111" t="s">
        <v>35</v>
      </c>
      <c r="D50" s="1" t="s">
        <v>50</v>
      </c>
    </row>
    <row r="51" spans="1:4" ht="15.75" x14ac:dyDescent="0.3">
      <c r="A51" s="111" t="s">
        <v>130</v>
      </c>
      <c r="B51" s="110">
        <f>B41*B48/(B48+B49)</f>
        <v>0.25</v>
      </c>
      <c r="C51" s="111" t="s">
        <v>3</v>
      </c>
      <c r="D51" s="1" t="s">
        <v>191</v>
      </c>
    </row>
    <row r="52" spans="1:4" ht="15.75" x14ac:dyDescent="0.3">
      <c r="A52" s="1" t="s">
        <v>49</v>
      </c>
      <c r="B52" s="114">
        <f>TOFF*1000000*(IAUX+Iq_sec*1000)/B49</f>
        <v>4.3799603174603181E-4</v>
      </c>
      <c r="C52" s="111" t="s">
        <v>3</v>
      </c>
      <c r="D52" s="49" t="s">
        <v>192</v>
      </c>
    </row>
    <row r="54" spans="1:4" ht="18" x14ac:dyDescent="0.25">
      <c r="A54" s="12" t="s">
        <v>16</v>
      </c>
    </row>
    <row r="56" spans="1:4" ht="15.75" x14ac:dyDescent="0.3">
      <c r="A56" s="1" t="s">
        <v>81</v>
      </c>
      <c r="B56" s="42">
        <v>40</v>
      </c>
      <c r="C56" s="1" t="s">
        <v>13</v>
      </c>
      <c r="D56" s="1" t="s">
        <v>28</v>
      </c>
    </row>
    <row r="57" spans="1:4" ht="25.5" customHeight="1" x14ac:dyDescent="0.2">
      <c r="A57" s="33" t="s">
        <v>66</v>
      </c>
      <c r="B57" s="65" t="s">
        <v>10</v>
      </c>
      <c r="C57" s="118" t="s">
        <v>67</v>
      </c>
      <c r="D57" s="118"/>
    </row>
    <row r="58" spans="1:4" x14ac:dyDescent="0.2">
      <c r="A58" s="5"/>
      <c r="B58" s="61"/>
      <c r="C58" s="6"/>
      <c r="D58" s="6"/>
    </row>
    <row r="59" spans="1:4" x14ac:dyDescent="0.2">
      <c r="A59" s="62" t="s">
        <v>64</v>
      </c>
      <c r="B59" s="60"/>
      <c r="C59" s="8"/>
      <c r="D59" s="8"/>
    </row>
    <row r="60" spans="1:4" ht="15.75" x14ac:dyDescent="0.3">
      <c r="A60" s="1" t="s">
        <v>47</v>
      </c>
      <c r="B60" s="43">
        <v>165</v>
      </c>
      <c r="C60" s="1" t="s">
        <v>35</v>
      </c>
      <c r="D60" s="1" t="str">
        <f>IF(LEFT($B$6,8)="TPSI3050", IF(OR(B60&lt;3,B60&gt;40000), "Error: CDIV1 must be between 3 nF and 40000 nF.", "Capacitance between VDDH and VDDM"), IF(OR(B60&lt;3,B60&gt;15000), "Error: CDIV1 must be between 3 nF and 15000 nF.", "Capacitance between VDDH and VDDM"))</f>
        <v>Capacitance between VDDH and VDDM</v>
      </c>
    </row>
    <row r="61" spans="1:4" ht="15.75" x14ac:dyDescent="0.3">
      <c r="A61" s="1" t="s">
        <v>46</v>
      </c>
      <c r="B61" s="43">
        <v>165</v>
      </c>
      <c r="C61" s="1" t="s">
        <v>35</v>
      </c>
      <c r="D61" s="1" t="s">
        <v>48</v>
      </c>
    </row>
    <row r="62" spans="1:4" ht="15" x14ac:dyDescent="0.25">
      <c r="A62" s="49" t="s">
        <v>45</v>
      </c>
      <c r="B62" s="71">
        <f>B61/B60</f>
        <v>1</v>
      </c>
      <c r="C62" s="1"/>
      <c r="D62" s="1" t="str">
        <f>IF(LEFT($B$6,8)="TPSI3050", IF(B62&lt;1, "ERROR: Computed ratio of CDIV2 to CDIV1 must be greater than or equal to 1.0.", "Computed ratio of CDIV2 to CDIV1."),  IF(B62&lt;3, "ERROR: Computed ratio of CDIV2 to CDIV1 must be greater than or equal to 3.0.", "Computed ratio of CDIV2 to CDIV1."))</f>
        <v>Computed ratio of CDIV2 to CDIV1.</v>
      </c>
    </row>
    <row r="63" spans="1:4" ht="15.75" x14ac:dyDescent="0.3">
      <c r="A63" s="3" t="s">
        <v>27</v>
      </c>
      <c r="B63" s="105">
        <f xml:space="preserve"> QTOTAL/VDDH</f>
        <v>3.9603960396039604</v>
      </c>
      <c r="C63" s="3" t="s">
        <v>35</v>
      </c>
      <c r="D63" s="3" t="s">
        <v>156</v>
      </c>
    </row>
    <row r="64" spans="1:4" ht="15.75" x14ac:dyDescent="0.3">
      <c r="A64" t="s">
        <v>79</v>
      </c>
      <c r="B64" s="89">
        <f>CTOTAL</f>
        <v>82.5</v>
      </c>
      <c r="C64" s="1" t="s">
        <v>35</v>
      </c>
      <c r="D64" s="1" t="s">
        <v>50</v>
      </c>
    </row>
    <row r="65" spans="1:4" ht="27" customHeight="1" x14ac:dyDescent="0.3">
      <c r="A65" s="51" t="s">
        <v>14</v>
      </c>
      <c r="B65" s="93">
        <f>QTOTAL/CTOTAL + 1000000000*B$21*Iq_sec/CTOTAL</f>
        <v>0.49555151515151519</v>
      </c>
      <c r="C65" s="52" t="s">
        <v>3</v>
      </c>
      <c r="D65" s="33" t="str">
        <f>IF(ROUNDDOWN(B65,3)&gt;0.5, "WARNING: Recommend 0.5 V or less. Higher values of CDIV1,2 will reduce VDDH droop with an increase of tSTART.", "Higher values of CDIV1,2 will reduce VDDH droop with an increase of tSTART.")</f>
        <v>Higher values of CDIV1,2 will reduce VDDH droop with an increase of tSTART.</v>
      </c>
    </row>
    <row r="66" spans="1:4" ht="27" customHeight="1" x14ac:dyDescent="0.3">
      <c r="A66" s="51" t="s">
        <v>130</v>
      </c>
      <c r="B66" s="93">
        <f>VDDHdroop_A*CDIV1/(CDIV1+CDIV2)</f>
        <v>0.24777575757575759</v>
      </c>
      <c r="C66" s="52" t="s">
        <v>3</v>
      </c>
      <c r="D66" s="88" t="s">
        <v>131</v>
      </c>
    </row>
    <row r="67" spans="1:4" ht="27" x14ac:dyDescent="0.3">
      <c r="A67" s="1" t="s">
        <v>49</v>
      </c>
      <c r="B67" s="93">
        <f>B$21*1000000*(IAUX+Iq_sec*1000)/CDIV2</f>
        <v>5.3515151515151523E-3</v>
      </c>
      <c r="C67" s="1" t="s">
        <v>3</v>
      </c>
      <c r="D67" s="33" t="str">
        <f>IF(B67&gt;0.5, "WARNING: Recommend 0.5V or less. Using a higher power transfer setting (RPXFR) and/or CDIV1 and CDIV2 capacitances will improve ripple.", "Using a higher power transfer setting (RPXFR) and/or CDIV1 and CDIV2 capacitances will improve ripple.")</f>
        <v>Using a higher power transfer setting (RPXFR) and/or CDIV1 and CDIV2 capacitances will improve ripple.</v>
      </c>
    </row>
    <row r="68" spans="1:4" ht="15" x14ac:dyDescent="0.25">
      <c r="A68" s="6"/>
      <c r="B68" s="53"/>
      <c r="C68" s="6"/>
      <c r="D68" s="46"/>
    </row>
    <row r="69" spans="1:4" ht="15" x14ac:dyDescent="0.25">
      <c r="A69" s="63" t="s">
        <v>65</v>
      </c>
      <c r="B69" s="53"/>
      <c r="C69" s="6"/>
      <c r="D69" s="46"/>
    </row>
    <row r="70" spans="1:4" ht="27.75" customHeight="1" x14ac:dyDescent="0.3">
      <c r="A70" s="1" t="s">
        <v>14</v>
      </c>
      <c r="B70" s="38">
        <v>0.5</v>
      </c>
      <c r="C70" s="1" t="s">
        <v>3</v>
      </c>
      <c r="D70" s="33" t="str">
        <f>IF(B70&gt;0.5, "WARNING: Recommend 0.5 V or less. Maximum targeted VDDH droop when switching the load. Reducing droop increases tSTSART, but has no effect on tRECOVER.", "Maximum targeted VDDH droop when switching the load. Recommend 0.5 V or less. Reducing droop increases tSTSART, but has no effect on tRECOVER.")</f>
        <v>Maximum targeted VDDH droop when switching the load. Recommend 0.5 V or less. Reducing droop increases tSTSART, but has no effect on tRECOVER.</v>
      </c>
    </row>
    <row r="71" spans="1:4" x14ac:dyDescent="0.2">
      <c r="A71" s="49" t="s">
        <v>45</v>
      </c>
      <c r="B71" s="43">
        <v>1</v>
      </c>
      <c r="C71" s="1"/>
      <c r="D71" s="1" t="str">
        <f>IF($B$6="TPSI3050", IF(B71&lt;1, "Error: Ratio of CDIV2 to CDIV1 must be greater than or equal to 1.0.", "Ratio of CDIV2 to CDIV1."),  IF(B71&lt;3, "Error: Ratio of CDIV2 to CDIV1 must be greater than or equal to 3.0.", "Ratio of CDIV2 to CDIV1."))</f>
        <v>Ratio of CDIV2 to CDIV1.</v>
      </c>
    </row>
    <row r="72" spans="1:4" ht="15.75" x14ac:dyDescent="0.3">
      <c r="A72" s="1" t="s">
        <v>62</v>
      </c>
      <c r="B72" s="69">
        <f>B73/B71</f>
        <v>163.53200000000001</v>
      </c>
      <c r="C72" s="1" t="s">
        <v>35</v>
      </c>
      <c r="D72" s="1" t="s">
        <v>59</v>
      </c>
    </row>
    <row r="73" spans="1:4" ht="15.75" x14ac:dyDescent="0.3">
      <c r="A73" s="1" t="s">
        <v>63</v>
      </c>
      <c r="B73" s="69">
        <f>B74*(B71+1)</f>
        <v>163.53200000000001</v>
      </c>
      <c r="C73" s="1" t="s">
        <v>35</v>
      </c>
      <c r="D73" s="1" t="s">
        <v>60</v>
      </c>
    </row>
    <row r="74" spans="1:4" ht="15.75" x14ac:dyDescent="0.3">
      <c r="A74" s="1" t="s">
        <v>54</v>
      </c>
      <c r="B74" s="70">
        <f>(QTOTAL+1000000000*Iq_sec*TOFF)/VDDHdroop_B</f>
        <v>81.766000000000005</v>
      </c>
      <c r="C74" s="1" t="s">
        <v>35</v>
      </c>
      <c r="D74" s="1" t="s">
        <v>50</v>
      </c>
    </row>
    <row r="75" spans="1:4" ht="15.75" x14ac:dyDescent="0.3">
      <c r="A75" s="1" t="s">
        <v>27</v>
      </c>
      <c r="B75" s="70">
        <f>QTOTAL/VDDH</f>
        <v>3.9603960396039604</v>
      </c>
      <c r="C75" s="1" t="s">
        <v>35</v>
      </c>
      <c r="D75" s="1" t="s">
        <v>156</v>
      </c>
    </row>
    <row r="76" spans="1:4" ht="15.75" x14ac:dyDescent="0.3">
      <c r="A76" s="1" t="s">
        <v>130</v>
      </c>
      <c r="B76" s="93">
        <f>VDDHdroop_B*CDIV1/(CDIV1+CDIV2)</f>
        <v>0.25</v>
      </c>
      <c r="C76" s="1" t="s">
        <v>3</v>
      </c>
      <c r="D76" s="58" t="s">
        <v>131</v>
      </c>
    </row>
    <row r="77" spans="1:4" ht="39.75" x14ac:dyDescent="0.3">
      <c r="A77" s="1" t="s">
        <v>49</v>
      </c>
      <c r="B77" s="93">
        <f xml:space="preserve"> TOFF*1000000*(IAUX+Iq_sec*1000)/CDIV2</f>
        <v>5.3515151515151523E-3</v>
      </c>
      <c r="C77" s="1" t="s">
        <v>3</v>
      </c>
      <c r="D77" s="58" t="str">
        <f>IF(B77&gt;0.5, "WARNING: Computed VDDM ripple using lowest possible power transfer setting that meets power requirements. Recommended to keep ripple to 500mV or less. Using a higher power transfer setting and/or CDIV1 and CDIV2 capacitances will improve ripple.","Computed VDDM ripple using lowest possible tranfer setting that meets power requirements. Recommended to keep ripple to 500mV or less. Using a higher power transfer setting and/or CDIV1 and CDIV2 capacitances will improve ripple." )</f>
        <v>Computed VDDM ripple using lowest possible tranfer setting that meets power requirements. Recommended to keep ripple to 500mV or less. Using a higher power transfer setting and/or CDIV1 and CDIV2 capacitances will improve ripple.</v>
      </c>
    </row>
    <row r="83" spans="2:4" x14ac:dyDescent="0.2">
      <c r="B83" s="55"/>
    </row>
    <row r="84" spans="2:4" x14ac:dyDescent="0.2">
      <c r="D84" s="59"/>
    </row>
    <row r="85" spans="2:4" x14ac:dyDescent="0.2">
      <c r="B85" s="48"/>
    </row>
  </sheetData>
  <sheetProtection password="A3CD" sheet="1" objects="1" scenarios="1" selectLockedCells="1"/>
  <mergeCells count="4">
    <mergeCell ref="C7:D7"/>
    <mergeCell ref="C57:D57"/>
    <mergeCell ref="C8:D8"/>
    <mergeCell ref="C6:D6"/>
  </mergeCells>
  <conditionalFormatting sqref="B77">
    <cfRule type="cellIs" dxfId="25" priority="58" operator="greaterThan">
      <formula>0.5</formula>
    </cfRule>
  </conditionalFormatting>
  <conditionalFormatting sqref="D62 D13:D15">
    <cfRule type="containsText" dxfId="24" priority="54" operator="containsText" text="Error">
      <formula>NOT(ISERROR(SEARCH("Error",D13)))</formula>
    </cfRule>
  </conditionalFormatting>
  <conditionalFormatting sqref="D60">
    <cfRule type="containsText" dxfId="23" priority="53" operator="containsText" text="Error">
      <formula>NOT(ISERROR(SEARCH("Error",D60)))</formula>
    </cfRule>
  </conditionalFormatting>
  <conditionalFormatting sqref="D65">
    <cfRule type="containsText" dxfId="22" priority="51" operator="containsText" text="Warning">
      <formula>NOT(ISERROR(SEARCH("Warning",D65)))</formula>
    </cfRule>
    <cfRule type="containsText" dxfId="21" priority="52" operator="containsText" text="Error">
      <formula>NOT(ISERROR(SEARCH("Error",D65)))</formula>
    </cfRule>
  </conditionalFormatting>
  <conditionalFormatting sqref="D67">
    <cfRule type="containsText" dxfId="20" priority="49" operator="containsText" text="Warning">
      <formula>NOT(ISERROR(SEARCH("Warning",D67)))</formula>
    </cfRule>
    <cfRule type="containsText" dxfId="19" priority="50" operator="containsText" text="Error">
      <formula>NOT(ISERROR(SEARCH("Error",D67)))</formula>
    </cfRule>
  </conditionalFormatting>
  <conditionalFormatting sqref="D70">
    <cfRule type="containsText" dxfId="18" priority="46" operator="containsText" text="Warning">
      <formula>NOT(ISERROR(SEARCH("Warning",D70)))</formula>
    </cfRule>
    <cfRule type="containsText" dxfId="17" priority="47" operator="containsText" text="Warning">
      <formula>NOT(ISERROR(SEARCH("Warning",D70)))</formula>
    </cfRule>
    <cfRule type="containsText" dxfId="16" priority="48" operator="containsText" text="Error">
      <formula>NOT(ISERROR(SEARCH("Error",D70)))</formula>
    </cfRule>
  </conditionalFormatting>
  <conditionalFormatting sqref="D71">
    <cfRule type="containsText" dxfId="15" priority="45" operator="containsText" text="Error">
      <formula>NOT(ISERROR(SEARCH("Error",D71)))</formula>
    </cfRule>
  </conditionalFormatting>
  <conditionalFormatting sqref="D76:D77">
    <cfRule type="containsText" dxfId="14" priority="44" operator="containsText" text="Warning">
      <formula>NOT(ISERROR(SEARCH("Warning",D76)))</formula>
    </cfRule>
  </conditionalFormatting>
  <conditionalFormatting sqref="D17">
    <cfRule type="cellIs" dxfId="13" priority="42" operator="greaterThan">
      <formula>$B$19</formula>
    </cfRule>
  </conditionalFormatting>
  <conditionalFormatting sqref="D12">
    <cfRule type="containsText" dxfId="12" priority="31" operator="containsText" text="Error">
      <formula>NOT(ISERROR(SEARCH("Error",D12)))</formula>
    </cfRule>
  </conditionalFormatting>
  <conditionalFormatting sqref="D66">
    <cfRule type="containsText" dxfId="11" priority="28" operator="containsText" text="Warning">
      <formula>NOT(ISERROR(SEARCH("Warning",D66)))</formula>
    </cfRule>
  </conditionalFormatting>
  <conditionalFormatting sqref="A54:D77">
    <cfRule type="expression" dxfId="10" priority="26" stopIfTrue="1">
      <formula>$B$7="S"</formula>
    </cfRule>
  </conditionalFormatting>
  <conditionalFormatting sqref="A69:D77">
    <cfRule type="expression" dxfId="9" priority="25" stopIfTrue="1">
      <formula>$B$57="A"</formula>
    </cfRule>
  </conditionalFormatting>
  <conditionalFormatting sqref="A59:D67">
    <cfRule type="expression" dxfId="8" priority="24" stopIfTrue="1">
      <formula>$B$57="B"</formula>
    </cfRule>
  </conditionalFormatting>
  <conditionalFormatting sqref="D40">
    <cfRule type="containsText" dxfId="7" priority="20" operator="containsText" text="Error">
      <formula>NOT(ISERROR(SEARCH("Error",D40)))</formula>
    </cfRule>
  </conditionalFormatting>
  <conditionalFormatting sqref="A34:D52">
    <cfRule type="expression" dxfId="6" priority="2" stopIfTrue="1">
      <formula>$B$7="F"</formula>
    </cfRule>
  </conditionalFormatting>
  <conditionalFormatting sqref="D45">
    <cfRule type="containsText" dxfId="5" priority="27" operator="containsText" text="ERROR">
      <formula>NOT(ISERROR(SEARCH("ERROR",D45)))</formula>
    </cfRule>
  </conditionalFormatting>
  <conditionalFormatting sqref="D42">
    <cfRule type="containsText" dxfId="4" priority="15" operator="containsText" text="ERROR">
      <formula>NOT(ISERROR(SEARCH("ERROR",D42)))</formula>
    </cfRule>
  </conditionalFormatting>
  <conditionalFormatting sqref="C8">
    <cfRule type="containsText" dxfId="3" priority="11" operator="containsText" text="Error">
      <formula>NOT(ISERROR(SEARCH("Error",C8)))</formula>
    </cfRule>
  </conditionalFormatting>
  <conditionalFormatting sqref="D36:D52">
    <cfRule type="containsText" dxfId="2" priority="13" operator="containsText" text="ERROR">
      <formula>NOT(ISERROR(SEARCH("ERROR",D36)))</formula>
    </cfRule>
  </conditionalFormatting>
  <conditionalFormatting sqref="D39">
    <cfRule type="containsText" dxfId="1" priority="8" operator="containsText" text="ERROR">
      <formula>NOT(ISERROR(SEARCH("ERROR",D39)))</formula>
    </cfRule>
  </conditionalFormatting>
  <conditionalFormatting sqref="D9">
    <cfRule type="containsText" dxfId="0" priority="1" stopIfTrue="1" operator="containsText" text="ERROR">
      <formula>NOT(ISERROR(SEARCH("ERROR",D9)))</formula>
    </cfRule>
  </conditionalFormatting>
  <dataValidations count="16">
    <dataValidation type="decimal" allowBlank="1" showInputMessage="1" showErrorMessage="1" error="VDDP range exceeded." sqref="B11" xr:uid="{C8E156DB-6F4D-4291-8396-6DC059DACEAB}">
      <formula1>3</formula1>
      <formula2>5.5</formula2>
    </dataValidation>
    <dataValidation errorStyle="warning" allowBlank="1" showInputMessage="1" showErrorMessage="1" error="Droop larger than 1.0V." sqref="B65:B66 B76" xr:uid="{62FB8649-3362-48E6-B5D7-33A1392B8A3E}"/>
    <dataValidation type="decimal" allowBlank="1" showInputMessage="1" showErrorMessage="1" error="Total charge required too high." sqref="B58" xr:uid="{1E22A8F6-6838-450B-BB95-2AADFC309BC1}">
      <formula1>0</formula1>
      <formula2>B33</formula2>
    </dataValidation>
    <dataValidation type="decimal" allowBlank="1" showInputMessage="1" showErrorMessage="1" error="Total charge required too high." sqref="B59" xr:uid="{7594B0BF-0C79-411C-947E-ADFC4513AB4B}">
      <formula1>0</formula1>
      <formula2>B19</formula2>
    </dataValidation>
    <dataValidation type="list" allowBlank="1" showInputMessage="1" showErrorMessage="1" error="Must be A or B." sqref="B57" xr:uid="{EE03E3C7-0AD5-49F4-8875-9DDAF265B15D}">
      <formula1>"A, B"</formula1>
    </dataValidation>
    <dataValidation type="list" allowBlank="1" showInputMessage="1" showErrorMessage="1" error="Must be S or F." sqref="B7" xr:uid="{FFFA08FB-A9D3-4720-B80A-22897983E5DD}">
      <formula1>"S,F"</formula1>
    </dataValidation>
    <dataValidation type="list" allowBlank="1" showInputMessage="1" showErrorMessage="1" error="Must be 2 or 3." sqref="B8" xr:uid="{FF913B9E-4B70-4E32-8C85-467DD507404A}">
      <formula1>"2,3"</formula1>
    </dataValidation>
    <dataValidation type="decimal" allowBlank="1" showInputMessage="1" showErrorMessage="1" sqref="B67" xr:uid="{D0DFB98E-E654-4ECB-B7A7-F6786BFA9A25}">
      <formula1>0</formula1>
      <formula2>1</formula2>
    </dataValidation>
    <dataValidation type="list" showInputMessage="1" showErrorMessage="1" error="Must be S or F." sqref="B6" xr:uid="{6A5E1424-AC5C-45DF-8C91-5C9E3E1DC165}">
      <formula1>"TPSI3050, TPSI3052, TPSI3050S, TPSI3052S, TPSI3050M"</formula1>
    </dataValidation>
    <dataValidation type="custom" allowBlank="1" showInputMessage="1" showErrorMessage="1" errorTitle="Ambient temperature" error="Invalid temperature entered for the selected device._x000a_" promptTitle="Ambient temperature range" prompt="Enter a whole number for ambient temperture range._x000a_For TPSI3050M, range is -55C to 125C._x000a_For all other devices,range is -40 to 125C." sqref="B9" xr:uid="{75ACCA81-1BD1-4217-AAD4-D9D4051EC2A4}">
      <formula1>IF($B6="TPSI3050M", IF(AND($B$9&gt;=-55, $B$9&lt;=125),TRUE, FALSE),IF(AND($B$9&gt;=-40, $B$9&lt;=125),TRUE, FALSE))</formula1>
    </dataValidation>
    <dataValidation type="list" allowBlank="1" showInputMessage="1" showErrorMessage="1" error="Must be 2 or 3." sqref="B12" xr:uid="{7374ADD8-7F59-4095-BC9B-D9846E2D14DB}">
      <formula1>"7.32, 9.09, 11, 12.7, 14.7, 16.5, 20"</formula1>
    </dataValidation>
    <dataValidation type="decimal" allowBlank="1" showInputMessage="1" showErrorMessage="1" error="Total charge required too high." sqref="B56" xr:uid="{19AFE263-2F31-4686-895A-E2798D29DC4A}">
      <formula1>0</formula1>
      <formula2>B18</formula2>
    </dataValidation>
    <dataValidation type="decimal" allowBlank="1" showInputMessage="1" showErrorMessage="1" error="Frequency must be from 0 to 100 kHz." sqref="B14" xr:uid="{2115C0F7-A5BF-4609-B21D-F0581784C20E}">
      <formula1>0</formula1>
      <formula2>100</formula2>
    </dataValidation>
    <dataValidation type="decimal" allowBlank="1" showInputMessage="1" showErrorMessage="1" error="Must be less than or equal to 10mA." sqref="B13" xr:uid="{41D182D1-179C-4A58-ACEF-B922134C812F}">
      <formula1>0</formula1>
      <formula2>10</formula2>
    </dataValidation>
    <dataValidation type="decimal" allowBlank="1" showInputMessage="1" showErrorMessage="1" sqref="B15" xr:uid="{98F1FE9E-653F-440A-B39B-E2619C231DBF}">
      <formula1>0</formula1>
      <formula2>100</formula2>
    </dataValidation>
    <dataValidation type="decimal" operator="greaterThan" allowBlank="1" showInputMessage="1" showErrorMessage="1" error="Must be greater than 0." sqref="B41" xr:uid="{5267AD0F-06F1-4F6A-B107-F0924E3E0C1D}">
      <formula1>0</formula1>
    </dataValidation>
  </dataValidations>
  <pageMargins left="0.7" right="0.7" top="0.75" bottom="0.75" header="0.3" footer="0.3"/>
  <pageSetup orientation="landscape" horizontalDpi="1200" verticalDpi="1200" r:id="rId1"/>
  <headerFooter>
    <oddHeader>&amp;CTI Confidential - NDA Restrictions</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M63"/>
  <sheetViews>
    <sheetView showGridLines="0" zoomScaleNormal="100" workbookViewId="0">
      <selection activeCell="C58" sqref="C58"/>
    </sheetView>
  </sheetViews>
  <sheetFormatPr defaultRowHeight="12.75" x14ac:dyDescent="0.2"/>
  <cols>
    <col min="1" max="1" width="26.42578125" bestFit="1" customWidth="1"/>
    <col min="2" max="2" width="12.5703125" customWidth="1"/>
    <col min="3" max="3" width="9.140625" bestFit="1" customWidth="1"/>
    <col min="4" max="4" width="9.140625" customWidth="1"/>
    <col min="5" max="6" width="11.85546875" customWidth="1"/>
    <col min="8" max="8" width="11.5703125" bestFit="1" customWidth="1"/>
    <col min="9" max="9" width="12.140625" bestFit="1" customWidth="1"/>
    <col min="10" max="11" width="11.28515625" bestFit="1" customWidth="1"/>
    <col min="12" max="12" width="11.42578125" customWidth="1"/>
    <col min="13" max="13" width="11.85546875" bestFit="1" customWidth="1"/>
    <col min="14" max="14" width="10.85546875" hidden="1" customWidth="1"/>
    <col min="15" max="16" width="9.42578125" hidden="1" customWidth="1"/>
    <col min="17" max="17" width="9.5703125" hidden="1" customWidth="1"/>
    <col min="18" max="18" width="9.85546875" hidden="1" customWidth="1"/>
    <col min="19" max="20" width="9.140625" hidden="1" customWidth="1"/>
    <col min="21" max="21" width="9.85546875" hidden="1" customWidth="1"/>
    <col min="22" max="25" width="9.140625" hidden="1" customWidth="1"/>
    <col min="26" max="26" width="10.140625" hidden="1" customWidth="1"/>
    <col min="27" max="27" width="9.140625" hidden="1" customWidth="1"/>
    <col min="28" max="28" width="10.140625" hidden="1" customWidth="1"/>
    <col min="29" max="30" width="9.140625" hidden="1" customWidth="1"/>
    <col min="31" max="31" width="12.5703125" hidden="1" customWidth="1"/>
    <col min="32" max="32" width="12.85546875" hidden="1" customWidth="1"/>
    <col min="33" max="33" width="13.28515625" hidden="1" customWidth="1"/>
    <col min="34" max="34" width="11.140625" hidden="1" customWidth="1"/>
    <col min="35" max="35" width="9.140625" hidden="1" customWidth="1"/>
    <col min="36" max="56" width="9.140625" customWidth="1"/>
  </cols>
  <sheetData>
    <row r="2" spans="1:13" hidden="1" x14ac:dyDescent="0.2">
      <c r="A2" s="1" t="s">
        <v>135</v>
      </c>
      <c r="B2" s="1">
        <f>'USER INPUT'!B8</f>
        <v>3</v>
      </c>
      <c r="C2" s="1"/>
      <c r="D2" s="91"/>
      <c r="E2" s="122" t="s">
        <v>148</v>
      </c>
      <c r="F2" s="123"/>
      <c r="G2" s="123"/>
      <c r="H2" s="123"/>
      <c r="I2" s="123"/>
      <c r="J2" s="124"/>
    </row>
    <row r="3" spans="1:13" ht="12.75" hidden="1" customHeight="1" x14ac:dyDescent="0.2">
      <c r="A3" s="49" t="s">
        <v>18</v>
      </c>
      <c r="B3" s="64" t="str">
        <f>IF('USER INPUT'!B7="S", "SCR/TRIAC", "FET")</f>
        <v>FET</v>
      </c>
      <c r="C3" s="1"/>
      <c r="D3" s="91"/>
      <c r="E3" s="122" t="s">
        <v>148</v>
      </c>
      <c r="F3" s="123"/>
      <c r="G3" s="123"/>
      <c r="H3" s="123"/>
      <c r="I3" s="123"/>
      <c r="J3" s="124"/>
    </row>
    <row r="4" spans="1:13" ht="12.75" hidden="1" customHeight="1" x14ac:dyDescent="0.2">
      <c r="A4" s="49" t="s">
        <v>68</v>
      </c>
      <c r="B4" s="64" t="str">
        <f>IF('USER INPUT'!B7="F", 'USER INPUT'!B57, "N/A")</f>
        <v>A</v>
      </c>
      <c r="C4" s="1"/>
      <c r="D4" s="91"/>
      <c r="E4" s="122" t="s">
        <v>148</v>
      </c>
      <c r="F4" s="123"/>
      <c r="G4" s="123"/>
      <c r="H4" s="123"/>
      <c r="I4" s="123"/>
      <c r="J4" s="124"/>
    </row>
    <row r="5" spans="1:13" ht="15.75" hidden="1" customHeight="1" x14ac:dyDescent="0.3">
      <c r="A5" s="3" t="s">
        <v>47</v>
      </c>
      <c r="B5" s="37">
        <f>IF('USER INPUT'!B$7="S", 'USER INPUT'!B48, IF('USER INPUT'!B57 = "A", 'USER INPUT'!B60, 'USER INPUT'!B72))</f>
        <v>165</v>
      </c>
      <c r="C5" s="3" t="s">
        <v>35</v>
      </c>
      <c r="D5" s="101"/>
      <c r="E5" s="122" t="s">
        <v>148</v>
      </c>
      <c r="F5" s="123"/>
      <c r="G5" s="123"/>
      <c r="H5" s="123"/>
      <c r="I5" s="123"/>
      <c r="J5" s="124"/>
    </row>
    <row r="6" spans="1:13" ht="15.75" hidden="1" customHeight="1" x14ac:dyDescent="0.3">
      <c r="A6" s="3" t="s">
        <v>46</v>
      </c>
      <c r="B6" s="37">
        <f>IF('USER INPUT'!B$7="S", 'USER INPUT'!B49, IF('USER INPUT'!B57 = "A", 'USER INPUT'!B61, 'USER INPUT'!B73))</f>
        <v>165</v>
      </c>
      <c r="C6" s="3" t="s">
        <v>35</v>
      </c>
      <c r="D6" s="101"/>
      <c r="E6" s="122" t="s">
        <v>148</v>
      </c>
      <c r="F6" s="123"/>
      <c r="G6" s="123"/>
      <c r="H6" s="123"/>
      <c r="I6" s="123"/>
      <c r="J6" s="124"/>
    </row>
    <row r="7" spans="1:13" ht="15.75" hidden="1" customHeight="1" x14ac:dyDescent="0.3">
      <c r="A7" s="3" t="s">
        <v>53</v>
      </c>
      <c r="B7" s="37">
        <f>QTOTAL</f>
        <v>40</v>
      </c>
      <c r="C7" s="3" t="s">
        <v>13</v>
      </c>
      <c r="D7" s="101"/>
      <c r="E7" s="122" t="s">
        <v>148</v>
      </c>
      <c r="F7" s="123"/>
      <c r="G7" s="123"/>
      <c r="H7" s="123"/>
      <c r="I7" s="123"/>
      <c r="J7" s="124"/>
    </row>
    <row r="8" spans="1:13" ht="15.75" hidden="1" x14ac:dyDescent="0.3">
      <c r="A8" s="3" t="s">
        <v>79</v>
      </c>
      <c r="B8" s="57">
        <f>1/(1/B5+1/B6)</f>
        <v>82.5</v>
      </c>
      <c r="C8" s="3" t="s">
        <v>35</v>
      </c>
      <c r="D8" s="3"/>
      <c r="E8" s="127" t="s">
        <v>55</v>
      </c>
      <c r="F8" s="127"/>
      <c r="G8" s="127"/>
      <c r="H8" s="127"/>
      <c r="I8" s="127"/>
      <c r="J8" s="127"/>
    </row>
    <row r="9" spans="1:13" ht="12.75" hidden="1" customHeight="1" x14ac:dyDescent="0.2">
      <c r="A9" s="3" t="s">
        <v>168</v>
      </c>
      <c r="B9" s="57">
        <f>'USER INPUT'!B9</f>
        <v>25</v>
      </c>
      <c r="C9" s="73" t="s">
        <v>90</v>
      </c>
      <c r="D9" s="102"/>
      <c r="E9" s="122" t="s">
        <v>148</v>
      </c>
      <c r="F9" s="123"/>
      <c r="G9" s="123"/>
      <c r="H9" s="123"/>
      <c r="I9" s="123"/>
      <c r="J9" s="124"/>
    </row>
    <row r="10" spans="1:13" hidden="1" x14ac:dyDescent="0.2">
      <c r="A10" s="3" t="s">
        <v>2</v>
      </c>
      <c r="B10" s="57">
        <f>IF(B2=2, VDDP_AVG, 'USER INPUT'!B11)</f>
        <v>5</v>
      </c>
      <c r="C10" s="73" t="s">
        <v>3</v>
      </c>
      <c r="D10" s="102"/>
      <c r="E10" s="122" t="s">
        <v>148</v>
      </c>
      <c r="F10" s="123"/>
      <c r="G10" s="123"/>
      <c r="H10" s="123"/>
      <c r="I10" s="123"/>
      <c r="J10" s="124"/>
    </row>
    <row r="11" spans="1:13" hidden="1" x14ac:dyDescent="0.2">
      <c r="A11" s="3" t="s">
        <v>154</v>
      </c>
      <c r="B11" s="2">
        <v>4.5</v>
      </c>
      <c r="C11" s="3" t="s">
        <v>3</v>
      </c>
      <c r="D11" s="3"/>
      <c r="E11" s="127" t="s">
        <v>170</v>
      </c>
      <c r="F11" s="127"/>
      <c r="G11" s="127"/>
      <c r="H11" s="127"/>
      <c r="I11" s="127"/>
      <c r="J11" s="127"/>
      <c r="M11" s="139"/>
    </row>
    <row r="12" spans="1:13" hidden="1" x14ac:dyDescent="0.2">
      <c r="A12" s="3" t="s">
        <v>116</v>
      </c>
      <c r="B12" s="87">
        <f>IF(LEFT('USER INPUT'!B6, 8)="TPSI3050",B17,B18)</f>
        <v>5.0999999999999996</v>
      </c>
      <c r="C12" s="3" t="s">
        <v>3</v>
      </c>
      <c r="D12" s="101"/>
      <c r="E12" s="130" t="s">
        <v>122</v>
      </c>
      <c r="F12" s="131"/>
      <c r="G12" s="131"/>
      <c r="H12" s="131"/>
      <c r="I12" s="131"/>
      <c r="J12" s="132"/>
    </row>
    <row r="13" spans="1:13" hidden="1" x14ac:dyDescent="0.2">
      <c r="A13" s="3" t="s">
        <v>117</v>
      </c>
      <c r="B13" s="87">
        <f>IF(LEFT('USER INPUT'!B6, 8)="TPSI3050",B15,B16)</f>
        <v>10.1</v>
      </c>
      <c r="C13" s="3" t="s">
        <v>3</v>
      </c>
      <c r="D13" s="101"/>
      <c r="E13" s="130" t="s">
        <v>123</v>
      </c>
      <c r="F13" s="131"/>
      <c r="G13" s="131"/>
      <c r="H13" s="131"/>
      <c r="I13" s="131"/>
      <c r="J13" s="132"/>
    </row>
    <row r="14" spans="1:13" hidden="1" x14ac:dyDescent="0.2">
      <c r="A14" s="3" t="s">
        <v>150</v>
      </c>
      <c r="B14" s="87">
        <f>IF(LEFT('USER INPUT'!B6, 8)="TPSI3050", 0.5*VDDH/2, 0.5*VDDH/3)</f>
        <v>2.5249999999999999</v>
      </c>
      <c r="C14" s="3" t="s">
        <v>3</v>
      </c>
      <c r="D14" s="101"/>
      <c r="E14" s="130" t="s">
        <v>151</v>
      </c>
      <c r="F14" s="131"/>
      <c r="G14" s="131"/>
      <c r="H14" s="131"/>
      <c r="I14" s="131"/>
      <c r="J14" s="132"/>
    </row>
    <row r="15" spans="1:13" hidden="1" x14ac:dyDescent="0.2">
      <c r="A15" s="1" t="s">
        <v>75</v>
      </c>
      <c r="B15" s="3">
        <v>10.1</v>
      </c>
      <c r="C15" s="1" t="s">
        <v>3</v>
      </c>
      <c r="D15" s="1"/>
      <c r="E15" s="127" t="s">
        <v>44</v>
      </c>
      <c r="F15" s="127"/>
      <c r="G15" s="127"/>
      <c r="H15" s="127"/>
      <c r="I15" s="127"/>
      <c r="J15" s="127"/>
    </row>
    <row r="16" spans="1:13" hidden="1" x14ac:dyDescent="0.2">
      <c r="A16" s="1" t="s">
        <v>76</v>
      </c>
      <c r="B16" s="3">
        <v>15.1</v>
      </c>
      <c r="C16" s="1" t="s">
        <v>3</v>
      </c>
      <c r="D16" s="1"/>
      <c r="E16" s="127" t="s">
        <v>44</v>
      </c>
      <c r="F16" s="127"/>
      <c r="G16" s="127"/>
      <c r="H16" s="127"/>
      <c r="I16" s="127"/>
      <c r="J16" s="127"/>
    </row>
    <row r="17" spans="1:10" hidden="1" x14ac:dyDescent="0.2">
      <c r="A17" s="1" t="s">
        <v>73</v>
      </c>
      <c r="B17" s="3">
        <v>5.0999999999999996</v>
      </c>
      <c r="C17" s="1" t="s">
        <v>3</v>
      </c>
      <c r="D17" s="1"/>
      <c r="E17" s="127" t="s">
        <v>44</v>
      </c>
      <c r="F17" s="127"/>
      <c r="G17" s="127"/>
      <c r="H17" s="127"/>
      <c r="I17" s="127"/>
      <c r="J17" s="127"/>
    </row>
    <row r="18" spans="1:10" hidden="1" x14ac:dyDescent="0.2">
      <c r="A18" s="1" t="s">
        <v>74</v>
      </c>
      <c r="B18" s="3">
        <v>5.0999999999999996</v>
      </c>
      <c r="C18" s="1" t="s">
        <v>3</v>
      </c>
      <c r="D18" s="1"/>
      <c r="E18" s="127" t="s">
        <v>44</v>
      </c>
      <c r="F18" s="127"/>
      <c r="G18" s="127"/>
      <c r="H18" s="127"/>
      <c r="I18" s="127"/>
      <c r="J18" s="127"/>
    </row>
    <row r="19" spans="1:10" hidden="1" x14ac:dyDescent="0.2">
      <c r="A19" s="1" t="s">
        <v>87</v>
      </c>
      <c r="B19" s="103">
        <f>(INTERCEPT+VDDP_COEFF*VDDP+VDDP_SQ_COEFF*VDDP_SQ+TEMP_COEFF*TEMP+TEMP_SQ_COEFF*TEMP_SQ+DUTY_COEFF*1+DUTY_SQ_COEFF*1^2)/100</f>
        <v>0.31956379318407019</v>
      </c>
      <c r="C19" s="1"/>
      <c r="D19" s="91"/>
      <c r="E19" s="130" t="s">
        <v>171</v>
      </c>
      <c r="F19" s="131"/>
      <c r="G19" s="131"/>
      <c r="H19" s="131"/>
      <c r="I19" s="131"/>
      <c r="J19" s="132"/>
    </row>
    <row r="20" spans="1:10" hidden="1" x14ac:dyDescent="0.2">
      <c r="A20" s="1" t="s">
        <v>88</v>
      </c>
      <c r="B20" s="103">
        <f>(INTERCEPT+VDDP_COEFF*VDDP+VDDP_SQ_COEFF*VDDP_SQ+TEMP_COEFF*TEMP+TEMP_SQ_COEFF*TEMP_SQ+DUTY_COEFF*2+DUTY_SQ_COEFF*2^2)/100</f>
        <v>0.3921957931840705</v>
      </c>
      <c r="C20" s="1"/>
      <c r="D20" s="91"/>
      <c r="E20" s="130" t="s">
        <v>172</v>
      </c>
      <c r="F20" s="131"/>
      <c r="G20" s="131"/>
      <c r="H20" s="131"/>
      <c r="I20" s="131"/>
      <c r="J20" s="132"/>
    </row>
    <row r="21" spans="1:10" hidden="1" x14ac:dyDescent="0.2">
      <c r="A21" s="1" t="s">
        <v>89</v>
      </c>
      <c r="B21" s="103">
        <f>(INTERCEPT+VDDP_COEFF*VDDP+VDDP_SQ_COEFF*VDDP_SQ+TEMP_COEFF*TEMP+TEMP_SQ_COEFF*TEMP_SQ+DUTY_COEFF*3+DUTY_SQ_COEFF*3^2)/100</f>
        <v>0.41165579318407081</v>
      </c>
      <c r="C21" s="1"/>
      <c r="D21" s="91"/>
      <c r="E21" s="130" t="s">
        <v>173</v>
      </c>
      <c r="F21" s="131"/>
      <c r="G21" s="131"/>
      <c r="H21" s="131"/>
      <c r="I21" s="131"/>
      <c r="J21" s="132"/>
    </row>
    <row r="22" spans="1:10" hidden="1" x14ac:dyDescent="0.2">
      <c r="A22" s="1" t="s">
        <v>166</v>
      </c>
      <c r="B22" s="32">
        <f>VDDP^2</f>
        <v>25</v>
      </c>
      <c r="C22" s="1"/>
      <c r="D22" s="91"/>
      <c r="E22" s="130" t="s">
        <v>169</v>
      </c>
      <c r="F22" s="131"/>
      <c r="G22" s="131"/>
      <c r="H22" s="131"/>
      <c r="I22" s="131"/>
      <c r="J22" s="132"/>
    </row>
    <row r="23" spans="1:10" hidden="1" x14ac:dyDescent="0.2">
      <c r="A23" s="1" t="s">
        <v>167</v>
      </c>
      <c r="B23" s="32">
        <f>TEMP^2</f>
        <v>625</v>
      </c>
      <c r="C23" s="1"/>
      <c r="D23" s="91"/>
      <c r="E23" s="130" t="s">
        <v>169</v>
      </c>
      <c r="F23" s="131"/>
      <c r="G23" s="131"/>
      <c r="H23" s="131"/>
      <c r="I23" s="131"/>
      <c r="J23" s="132"/>
    </row>
    <row r="24" spans="1:10" hidden="1" x14ac:dyDescent="0.2">
      <c r="A24" s="98" t="s">
        <v>165</v>
      </c>
      <c r="B24" s="98">
        <v>0.39551843846218998</v>
      </c>
      <c r="C24" s="1"/>
      <c r="D24" s="91"/>
      <c r="E24" s="130" t="s">
        <v>146</v>
      </c>
      <c r="F24" s="131"/>
      <c r="G24" s="131"/>
      <c r="H24" s="131"/>
      <c r="I24" s="131"/>
      <c r="J24" s="132"/>
    </row>
    <row r="25" spans="1:10" hidden="1" x14ac:dyDescent="0.2">
      <c r="A25" s="98" t="s">
        <v>159</v>
      </c>
      <c r="B25" s="98">
        <v>-3.3312413819139207E-2</v>
      </c>
      <c r="C25" s="1"/>
      <c r="D25" s="91"/>
      <c r="E25" s="130" t="s">
        <v>147</v>
      </c>
      <c r="F25" s="131"/>
      <c r="G25" s="131"/>
      <c r="H25" s="131"/>
      <c r="I25" s="131"/>
      <c r="J25" s="132"/>
    </row>
    <row r="26" spans="1:10" hidden="1" x14ac:dyDescent="0.2">
      <c r="A26" s="98" t="s">
        <v>160</v>
      </c>
      <c r="B26" s="98">
        <v>8.8499688359667203</v>
      </c>
      <c r="C26" s="1"/>
      <c r="D26" s="91"/>
      <c r="E26" s="130" t="s">
        <v>147</v>
      </c>
      <c r="F26" s="131"/>
      <c r="G26" s="131"/>
      <c r="H26" s="131"/>
      <c r="I26" s="131"/>
      <c r="J26" s="132"/>
    </row>
    <row r="27" spans="1:10" hidden="1" x14ac:dyDescent="0.2">
      <c r="A27" s="98" t="s">
        <v>161</v>
      </c>
      <c r="B27" s="98">
        <v>15.239000000000001</v>
      </c>
      <c r="C27" s="1"/>
      <c r="D27" s="91"/>
      <c r="E27" s="130" t="s">
        <v>147</v>
      </c>
      <c r="F27" s="131"/>
      <c r="G27" s="131"/>
      <c r="H27" s="131"/>
      <c r="I27" s="131"/>
      <c r="J27" s="132"/>
    </row>
    <row r="28" spans="1:10" hidden="1" x14ac:dyDescent="0.2">
      <c r="A28" s="98" t="s">
        <v>162</v>
      </c>
      <c r="B28" s="98">
        <v>-7.2962185141536125E-6</v>
      </c>
      <c r="C28" s="1"/>
      <c r="D28" s="91"/>
      <c r="E28" s="130" t="s">
        <v>147</v>
      </c>
      <c r="F28" s="131"/>
      <c r="G28" s="131"/>
      <c r="H28" s="131"/>
      <c r="I28" s="131"/>
      <c r="J28" s="132"/>
    </row>
    <row r="29" spans="1:10" hidden="1" x14ac:dyDescent="0.2">
      <c r="A29" s="98" t="s">
        <v>163</v>
      </c>
      <c r="B29" s="98">
        <v>-0.9772805127135582</v>
      </c>
      <c r="C29" s="1"/>
      <c r="D29" s="91"/>
      <c r="E29" s="130" t="s">
        <v>147</v>
      </c>
      <c r="F29" s="131"/>
      <c r="G29" s="131"/>
      <c r="H29" s="131"/>
      <c r="I29" s="131"/>
      <c r="J29" s="132"/>
    </row>
    <row r="30" spans="1:10" hidden="1" x14ac:dyDescent="0.2">
      <c r="A30" s="98" t="s">
        <v>164</v>
      </c>
      <c r="B30" s="98">
        <v>-2.6585999999999914</v>
      </c>
      <c r="C30" s="1"/>
      <c r="D30" s="91"/>
      <c r="E30" s="130" t="s">
        <v>147</v>
      </c>
      <c r="F30" s="131"/>
      <c r="G30" s="131"/>
      <c r="H30" s="131"/>
      <c r="I30" s="131"/>
      <c r="J30" s="132"/>
    </row>
    <row r="31" spans="1:10" hidden="1" x14ac:dyDescent="0.2">
      <c r="A31" s="3" t="s">
        <v>25</v>
      </c>
      <c r="B31" s="97">
        <v>2.7</v>
      </c>
      <c r="C31" s="3" t="s">
        <v>3</v>
      </c>
      <c r="D31" s="3"/>
      <c r="E31" s="127" t="s">
        <v>44</v>
      </c>
      <c r="F31" s="127"/>
      <c r="G31" s="127"/>
      <c r="H31" s="127"/>
      <c r="I31" s="127"/>
      <c r="J31" s="127"/>
    </row>
    <row r="32" spans="1:10" hidden="1" x14ac:dyDescent="0.2">
      <c r="A32" s="3" t="s">
        <v>29</v>
      </c>
      <c r="B32" s="32">
        <v>17</v>
      </c>
      <c r="C32" s="3" t="s">
        <v>12</v>
      </c>
      <c r="D32" s="3"/>
      <c r="E32" s="127" t="s">
        <v>44</v>
      </c>
      <c r="F32" s="127"/>
      <c r="G32" s="127"/>
      <c r="H32" s="127"/>
      <c r="I32" s="127"/>
      <c r="J32" s="127"/>
    </row>
    <row r="33" spans="1:31" hidden="1" x14ac:dyDescent="0.2">
      <c r="A33" s="3" t="s">
        <v>36</v>
      </c>
      <c r="B33" s="32">
        <v>40</v>
      </c>
      <c r="C33" s="3" t="s">
        <v>12</v>
      </c>
      <c r="D33" s="3"/>
      <c r="E33" s="127" t="s">
        <v>44</v>
      </c>
      <c r="F33" s="127"/>
      <c r="G33" s="127"/>
      <c r="H33" s="127"/>
      <c r="I33" s="127"/>
      <c r="J33" s="127"/>
    </row>
    <row r="34" spans="1:31" hidden="1" x14ac:dyDescent="0.2">
      <c r="A34" s="3" t="s">
        <v>26</v>
      </c>
      <c r="B34" s="32">
        <f>CIN*VDDP_AVG/Istart__two_wire</f>
        <v>38.07692307692308</v>
      </c>
      <c r="C34" s="3" t="s">
        <v>12</v>
      </c>
      <c r="D34" s="101"/>
      <c r="E34" s="134" t="s">
        <v>30</v>
      </c>
      <c r="F34" s="135"/>
      <c r="G34" s="135"/>
      <c r="H34" s="135"/>
      <c r="I34" s="135"/>
      <c r="J34" s="136"/>
    </row>
    <row r="35" spans="1:31" hidden="1" x14ac:dyDescent="0.2">
      <c r="A35" s="3" t="s">
        <v>42</v>
      </c>
      <c r="B35" s="32">
        <v>25</v>
      </c>
      <c r="C35" s="3" t="s">
        <v>43</v>
      </c>
      <c r="D35" s="3"/>
      <c r="E35" s="127" t="s">
        <v>44</v>
      </c>
      <c r="F35" s="127"/>
      <c r="G35" s="127"/>
      <c r="H35" s="127"/>
      <c r="I35" s="127"/>
      <c r="J35" s="127"/>
    </row>
    <row r="36" spans="1:31" hidden="1" x14ac:dyDescent="0.2">
      <c r="A36" s="1" t="s">
        <v>0</v>
      </c>
      <c r="B36" s="4">
        <v>7.4999999999999993E-5</v>
      </c>
      <c r="C36" s="1" t="s">
        <v>10</v>
      </c>
      <c r="D36" s="1"/>
      <c r="E36" s="127" t="s">
        <v>44</v>
      </c>
      <c r="F36" s="127"/>
      <c r="G36" s="127"/>
      <c r="H36" s="127"/>
      <c r="I36" s="127"/>
      <c r="J36" s="127"/>
      <c r="K36" s="34"/>
    </row>
    <row r="37" spans="1:31" hidden="1" x14ac:dyDescent="0.2">
      <c r="A37" s="1" t="s">
        <v>1</v>
      </c>
      <c r="B37" s="4">
        <v>4.0000000000000003E-5</v>
      </c>
      <c r="C37" s="1" t="s">
        <v>10</v>
      </c>
      <c r="D37" s="1"/>
      <c r="E37" s="127" t="s">
        <v>44</v>
      </c>
      <c r="F37" s="127"/>
      <c r="G37" s="127"/>
      <c r="H37" s="127"/>
      <c r="I37" s="127"/>
      <c r="J37" s="127"/>
      <c r="K37" s="34"/>
    </row>
    <row r="38" spans="1:31" hidden="1" x14ac:dyDescent="0.2">
      <c r="A38" s="1" t="s">
        <v>157</v>
      </c>
      <c r="B38" s="96">
        <f>0.001*(VDDP*5.1228720353458+TEMP*0.00300513204120622+15.758197115571)/0.933</f>
        <v>4.4424100314394595E-2</v>
      </c>
      <c r="C38" s="1" t="s">
        <v>10</v>
      </c>
      <c r="D38" s="1"/>
      <c r="E38" s="130" t="s">
        <v>158</v>
      </c>
      <c r="F38" s="131"/>
      <c r="G38" s="131"/>
      <c r="H38" s="131"/>
      <c r="I38" s="131"/>
      <c r="J38" s="132"/>
    </row>
    <row r="39" spans="1:31" ht="15.75" hidden="1" x14ac:dyDescent="0.3">
      <c r="A39" s="1" t="s">
        <v>9</v>
      </c>
      <c r="B39" s="96">
        <f>0.001*(VDDP_AVG*5.1228720353458+TEMP*0.00300513204120622+15.758197115571)/0.933</f>
        <v>4.1678724089664804E-2</v>
      </c>
      <c r="C39" s="1" t="s">
        <v>10</v>
      </c>
      <c r="D39" s="1"/>
      <c r="E39" s="130" t="s">
        <v>158</v>
      </c>
      <c r="F39" s="131"/>
      <c r="G39" s="131"/>
      <c r="H39" s="131"/>
      <c r="I39" s="131"/>
      <c r="J39" s="132"/>
    </row>
    <row r="40" spans="1:31" ht="15.75" hidden="1" x14ac:dyDescent="0.3">
      <c r="A40" s="3" t="s">
        <v>17</v>
      </c>
      <c r="B40" s="2">
        <v>26</v>
      </c>
      <c r="C40" s="3" t="s">
        <v>11</v>
      </c>
      <c r="D40" s="3"/>
      <c r="E40" s="127" t="s">
        <v>44</v>
      </c>
      <c r="F40" s="127"/>
      <c r="G40" s="127"/>
      <c r="H40" s="127"/>
      <c r="I40" s="127"/>
      <c r="J40" s="127"/>
    </row>
    <row r="42" spans="1:31" x14ac:dyDescent="0.2">
      <c r="A42" s="13" t="s">
        <v>7</v>
      </c>
      <c r="B42" s="14"/>
      <c r="C42" s="15"/>
      <c r="D42" s="15"/>
      <c r="E42" s="15"/>
      <c r="F42" s="16"/>
      <c r="G42" s="16"/>
      <c r="H42" s="10"/>
      <c r="I42" s="10"/>
      <c r="J42" s="10"/>
      <c r="K42" s="10"/>
      <c r="L42" s="10"/>
      <c r="M42" s="10"/>
      <c r="N42" s="10"/>
      <c r="O42" s="10"/>
    </row>
    <row r="43" spans="1:31" ht="30" x14ac:dyDescent="0.3">
      <c r="A43" s="17" t="s">
        <v>82</v>
      </c>
      <c r="B43" s="137" t="s">
        <v>5</v>
      </c>
      <c r="C43" s="137"/>
      <c r="D43" s="1" t="s">
        <v>20</v>
      </c>
      <c r="E43" s="1" t="s">
        <v>152</v>
      </c>
      <c r="F43" s="18" t="s">
        <v>153</v>
      </c>
      <c r="G43" s="18" t="s">
        <v>4</v>
      </c>
      <c r="H43" s="18" t="s">
        <v>6</v>
      </c>
      <c r="I43" s="18" t="s">
        <v>33</v>
      </c>
      <c r="J43" s="18" t="s">
        <v>31</v>
      </c>
      <c r="K43" s="18" t="s">
        <v>120</v>
      </c>
      <c r="L43" s="85" t="s">
        <v>121</v>
      </c>
      <c r="O43" s="68" t="s">
        <v>120</v>
      </c>
      <c r="P43" s="68" t="s">
        <v>99</v>
      </c>
      <c r="Q43" s="68" t="s">
        <v>32</v>
      </c>
      <c r="R43" s="1" t="s">
        <v>133</v>
      </c>
      <c r="T43" s="18" t="s">
        <v>5</v>
      </c>
      <c r="U43" s="28" t="s">
        <v>21</v>
      </c>
      <c r="V43" s="29" t="s">
        <v>19</v>
      </c>
      <c r="W43" s="1" t="s">
        <v>22</v>
      </c>
      <c r="X43" s="1" t="s">
        <v>23</v>
      </c>
      <c r="Y43" s="91" t="s">
        <v>37</v>
      </c>
      <c r="Z43" s="3" t="s">
        <v>86</v>
      </c>
      <c r="AB43" s="28" t="s">
        <v>124</v>
      </c>
      <c r="AC43" s="1" t="s">
        <v>125</v>
      </c>
      <c r="AD43" s="1" t="s">
        <v>126</v>
      </c>
      <c r="AE43" s="3" t="s">
        <v>137</v>
      </c>
    </row>
    <row r="44" spans="1:31" x14ac:dyDescent="0.2">
      <c r="A44" s="19">
        <v>7.32</v>
      </c>
      <c r="B44" s="133">
        <v>1.9</v>
      </c>
      <c r="C44" s="133"/>
      <c r="D44" s="72">
        <f t="shared" ref="D44:D50" si="0">VDDP_AVG*B44</f>
        <v>8.5499999999999989</v>
      </c>
      <c r="E44" s="72">
        <f t="shared" ref="E44:E50" si="1">D44-VDDP_AVG*Iq_prim*1000</f>
        <v>8.2124999999999986</v>
      </c>
      <c r="F44" s="72">
        <f>E44*EFFICIENCY_LO</f>
        <v>2.6244176515241762</v>
      </c>
      <c r="G44" s="31">
        <f t="shared" ref="G44:G50" si="2">F44-Iq_sec*VDDH*1000</f>
        <v>2.2204176515241763</v>
      </c>
      <c r="H44" s="20">
        <f t="shared" ref="H44:H50" si="3">G44/VDDH-Iq_sec*1000</f>
        <v>0.17984333183407686</v>
      </c>
      <c r="I44" s="106">
        <f t="shared" ref="I44:I50" si="4">IF(R44="NO","N/A", $B$32+$B$33+$B$34+$AE44)</f>
        <v>3767.4198241535291</v>
      </c>
      <c r="J44" s="90">
        <f>IF(O44="N/A", "N/A", 1000/O44)</f>
        <v>181.9477519117539</v>
      </c>
      <c r="K44" s="50">
        <f t="shared" ref="K44:K50" si="5">IF(R44="NO","N/A",1000/(I44+J44))</f>
        <v>0.25320509695283677</v>
      </c>
      <c r="L44" s="50">
        <f t="shared" ref="L44:L50" si="6">P44</f>
        <v>0.43537601010277971</v>
      </c>
      <c r="O44" s="83">
        <f t="shared" ref="O44:O50" si="7">IF(R44="NO", "N/A", IF(1000*(G44-PREQ_DC)/VDDH/QTOTAL &lt; 0, "N/A", 1000*(G44-PREQ_DC)/VDDH/QTOTAL))</f>
        <v>5.4960832958519212</v>
      </c>
      <c r="P44" s="84">
        <f t="shared" ref="P44:P50" si="8">IF(R44="NO", "N/A", IF((G44-PREQ_AC)/VDDM &lt; 0, "N/A", IF( (G44-PREQ_AC)/VDDM &gt;10, 10, (G44-PREQ_AC)/VDDM)))</f>
        <v>0.43537601010277971</v>
      </c>
      <c r="Q44" s="84">
        <f t="shared" ref="Q44:Q50" si="9">IF(R44="NO", "N/A", IF((G44-PREQ_DC)/VDDH&lt;=0, "N/A", (G44-PREQ_DC)/VDDH))</f>
        <v>0.21984333183407687</v>
      </c>
      <c r="R44" s="84" t="str">
        <f t="shared" ref="R44:R50" si="10">IF(PREQ_TOTAL &gt; G44, "NO", "YES")</f>
        <v>YES</v>
      </c>
      <c r="T44" s="40">
        <v>2</v>
      </c>
      <c r="U44" s="30">
        <f>0.0000029</f>
        <v>2.9000000000000002E-6</v>
      </c>
      <c r="V44" s="27">
        <f t="shared" ref="V44:V50" si="11">1000000000*U44*(IVDDP__two_wire+Iq_prim)/CIN</f>
        <v>0.55038999936376332</v>
      </c>
      <c r="W44" s="30">
        <f t="shared" ref="W44:W50" si="12">U44*(IVDDP__two_wire+Iq_prim)/(T44*0.001-Iq_prim)</f>
        <v>6.2901714213001525E-5</v>
      </c>
      <c r="X44" s="30">
        <f>U44+W44</f>
        <v>6.5801714213001528E-5</v>
      </c>
      <c r="Y44" s="92">
        <f>1/X44/1000</f>
        <v>15.197172474306353</v>
      </c>
      <c r="Z44" s="75">
        <f>U44/W44</f>
        <v>4.610367199500872E-2</v>
      </c>
      <c r="AB44" s="83">
        <f t="shared" ref="AB44:AB50" si="13">IF(R44="NO", "N/A",(G44)/$B$12)</f>
        <v>0.43537601010277971</v>
      </c>
      <c r="AC44" s="83">
        <f>IF(AB44="N/A","N/A",IF('USER INPUT'!$B$6="TPSI3050",AD44*$B$5/$B$6, AD44*2*$B$5/$B$6))</f>
        <v>0.21768800505138985</v>
      </c>
      <c r="AD44" s="83">
        <f>IF(AB44="N/A","N/A",IF('USER INPUT'!$B$6="TPSI3050",(AB44-'USER INPUT'!B$13)*$B$6/($B$5+$B$6),(AB44-'USER INPUT'!B$13)*$B$6/(4*$B$5+$B$6)))</f>
        <v>0.21768800505138985</v>
      </c>
      <c r="AE44" s="94">
        <f t="shared" ref="AE44:AE50" si="14" xml:space="preserve"> $B$6*0.95*$B$12/$AD44</f>
        <v>3672.3429010766063</v>
      </c>
    </row>
    <row r="45" spans="1:31" x14ac:dyDescent="0.2">
      <c r="A45" s="19">
        <v>9.09</v>
      </c>
      <c r="B45" s="133">
        <v>2.8</v>
      </c>
      <c r="C45" s="133"/>
      <c r="D45" s="72">
        <f t="shared" si="0"/>
        <v>12.6</v>
      </c>
      <c r="E45" s="72">
        <f t="shared" si="1"/>
        <v>12.262499999999999</v>
      </c>
      <c r="F45" s="72">
        <f>E45*EFFICIENCY_LO</f>
        <v>3.9186510139196606</v>
      </c>
      <c r="G45" s="31">
        <f t="shared" si="2"/>
        <v>3.5146510139196607</v>
      </c>
      <c r="H45" s="20">
        <f t="shared" si="3"/>
        <v>0.30798524890293671</v>
      </c>
      <c r="I45" s="106">
        <f t="shared" si="4"/>
        <v>2415.1180787153671</v>
      </c>
      <c r="J45" s="90">
        <f t="shared" ref="J45:J50" si="15">IF(O45="N/A", "N/A", 1000/O45)</f>
        <v>114.94740115020555</v>
      </c>
      <c r="K45" s="50">
        <f t="shared" si="5"/>
        <v>0.39524668747037012</v>
      </c>
      <c r="L45" s="50">
        <f t="shared" si="6"/>
        <v>0.68914725763130602</v>
      </c>
      <c r="O45" s="83">
        <f t="shared" si="7"/>
        <v>8.6996312225734194</v>
      </c>
      <c r="P45" s="84">
        <f t="shared" si="8"/>
        <v>0.68914725763130602</v>
      </c>
      <c r="Q45" s="84">
        <f t="shared" si="9"/>
        <v>0.34798524890293669</v>
      </c>
      <c r="R45" s="84" t="str">
        <f t="shared" si="10"/>
        <v>YES</v>
      </c>
      <c r="T45" s="40">
        <v>3</v>
      </c>
      <c r="U45" s="30">
        <f t="shared" ref="U45:U50" si="16">0.0000029</f>
        <v>2.9000000000000002E-6</v>
      </c>
      <c r="V45" s="27">
        <f t="shared" si="11"/>
        <v>0.55038999936376332</v>
      </c>
      <c r="W45" s="30">
        <f t="shared" si="12"/>
        <v>4.1396854653001E-5</v>
      </c>
      <c r="X45" s="30">
        <f t="shared" ref="X45:X50" si="17">U45+W45</f>
        <v>4.4296854653001003E-5</v>
      </c>
      <c r="Y45" s="92">
        <f t="shared" ref="Y45:Y50" si="18">1/X45/1000</f>
        <v>22.574966277707315</v>
      </c>
      <c r="Z45" s="75">
        <f t="shared" ref="Z45:Z50" si="19">U45/W45</f>
        <v>7.0053631472935335E-2</v>
      </c>
      <c r="AB45" s="83">
        <f t="shared" si="13"/>
        <v>0.68914725763130602</v>
      </c>
      <c r="AC45" s="83">
        <f>IF(AB45="N/A","N/A",IF('USER INPUT'!$B$6="TPSI3050",AD45*$B$5/$B$6, AD45*2*$B$5/$B$6))</f>
        <v>0.34457362881565301</v>
      </c>
      <c r="AD45" s="83">
        <f>IF(AB45="N/A","N/A",IF('USER INPUT'!$B$6="TPSI3050",(AB45-'USER INPUT'!B$13)*$B$6/($B$5+$B$6),(AB45-'USER INPUT'!B$13)*$B$6/(4*$B$5+$B$6)))</f>
        <v>0.34457362881565301</v>
      </c>
      <c r="AE45" s="94">
        <f t="shared" si="14"/>
        <v>2320.0411556384443</v>
      </c>
    </row>
    <row r="46" spans="1:31" x14ac:dyDescent="0.2">
      <c r="A46" s="19">
        <v>11</v>
      </c>
      <c r="B46" s="133">
        <v>3.7</v>
      </c>
      <c r="C46" s="133"/>
      <c r="D46" s="72">
        <f t="shared" si="0"/>
        <v>16.650000000000002</v>
      </c>
      <c r="E46" s="72">
        <f t="shared" si="1"/>
        <v>16.312500000000004</v>
      </c>
      <c r="F46" s="72">
        <f>E46*EFFICIENCY_MID</f>
        <v>6.3976938763151514</v>
      </c>
      <c r="G46" s="31">
        <f t="shared" si="2"/>
        <v>5.9936938763151515</v>
      </c>
      <c r="H46" s="20">
        <f t="shared" si="3"/>
        <v>0.55343503725892584</v>
      </c>
      <c r="I46" s="106">
        <f t="shared" si="4"/>
        <v>1455.5292865554964</v>
      </c>
      <c r="J46" s="90">
        <f t="shared" si="15"/>
        <v>67.404176512327027</v>
      </c>
      <c r="K46" s="50">
        <f t="shared" si="5"/>
        <v>0.65662750491120125</v>
      </c>
      <c r="L46" s="50">
        <f t="shared" si="6"/>
        <v>1.1752340933951277</v>
      </c>
      <c r="O46" s="83">
        <f t="shared" si="7"/>
        <v>14.835875931473145</v>
      </c>
      <c r="P46" s="84">
        <f t="shared" si="8"/>
        <v>1.1752340933951277</v>
      </c>
      <c r="Q46" s="84">
        <f t="shared" si="9"/>
        <v>0.59343503725892588</v>
      </c>
      <c r="R46" s="84" t="str">
        <f t="shared" si="10"/>
        <v>YES</v>
      </c>
      <c r="T46" s="40">
        <v>4</v>
      </c>
      <c r="U46" s="30">
        <f t="shared" si="16"/>
        <v>2.9000000000000002E-6</v>
      </c>
      <c r="V46" s="27">
        <f t="shared" si="11"/>
        <v>0.55038999936376332</v>
      </c>
      <c r="W46" s="30">
        <f t="shared" si="12"/>
        <v>3.0849885314656799E-5</v>
      </c>
      <c r="X46" s="30">
        <f t="shared" si="17"/>
        <v>3.3749885314656801E-5</v>
      </c>
      <c r="Y46" s="92">
        <f t="shared" si="18"/>
        <v>29.629730313949331</v>
      </c>
      <c r="Z46" s="75">
        <f t="shared" si="19"/>
        <v>9.4003590950861929E-2</v>
      </c>
      <c r="AB46" s="83">
        <f t="shared" si="13"/>
        <v>1.1752340933951277</v>
      </c>
      <c r="AC46" s="83">
        <f>IF(AB46="N/A","N/A",IF('USER INPUT'!$B$6="TPSI3050",AD46*$B$5/$B$6, AD46*2*$B$5/$B$6))</f>
        <v>0.58761704669756387</v>
      </c>
      <c r="AD46" s="83">
        <f>IF(AB46="N/A","N/A",IF('USER INPUT'!$B$6="TPSI3050",(AB46-'USER INPUT'!B$13)*$B$6/($B$5+$B$6),(AB46-'USER INPUT'!B$13)*$B$6/(4*$B$5+$B$6)))</f>
        <v>0.58761704669756387</v>
      </c>
      <c r="AE46" s="94">
        <f t="shared" si="14"/>
        <v>1360.4523634785733</v>
      </c>
    </row>
    <row r="47" spans="1:31" x14ac:dyDescent="0.2">
      <c r="A47" s="19">
        <v>12.7</v>
      </c>
      <c r="B47" s="133">
        <v>4.5</v>
      </c>
      <c r="C47" s="133"/>
      <c r="D47" s="72">
        <f t="shared" si="0"/>
        <v>20.25</v>
      </c>
      <c r="E47" s="72">
        <f t="shared" si="1"/>
        <v>19.912500000000001</v>
      </c>
      <c r="F47" s="72">
        <f>E47*EFFICIENCY_MID</f>
        <v>7.8095987317778039</v>
      </c>
      <c r="G47" s="31">
        <f t="shared" si="2"/>
        <v>7.405598731777804</v>
      </c>
      <c r="H47" s="20">
        <f t="shared" si="3"/>
        <v>0.69322759720572313</v>
      </c>
      <c r="I47" s="106">
        <f t="shared" si="4"/>
        <v>1196.1539993989479</v>
      </c>
      <c r="J47" s="90">
        <f t="shared" si="15"/>
        <v>54.55332035023924</v>
      </c>
      <c r="K47" s="50">
        <f t="shared" si="5"/>
        <v>0.7995475713698843</v>
      </c>
      <c r="L47" s="50">
        <f t="shared" si="6"/>
        <v>1.4520781827015303</v>
      </c>
      <c r="O47" s="83">
        <f t="shared" si="7"/>
        <v>18.33068993014308</v>
      </c>
      <c r="P47" s="84">
        <f t="shared" si="8"/>
        <v>1.4520781827015303</v>
      </c>
      <c r="Q47" s="84">
        <f t="shared" si="9"/>
        <v>0.73322759720572317</v>
      </c>
      <c r="R47" s="84" t="str">
        <f t="shared" si="10"/>
        <v>YES</v>
      </c>
      <c r="T47" s="40">
        <v>5</v>
      </c>
      <c r="U47" s="30">
        <f t="shared" si="16"/>
        <v>2.9000000000000002E-6</v>
      </c>
      <c r="V47" s="27">
        <f t="shared" si="11"/>
        <v>0.55038999936376332</v>
      </c>
      <c r="W47" s="30">
        <f t="shared" si="12"/>
        <v>2.4585949210157956E-5</v>
      </c>
      <c r="X47" s="30">
        <f t="shared" si="17"/>
        <v>2.7485949210157956E-5</v>
      </c>
      <c r="Y47" s="92">
        <f t="shared" si="18"/>
        <v>36.382225418303221</v>
      </c>
      <c r="Z47" s="75">
        <f t="shared" si="19"/>
        <v>0.11795355042878854</v>
      </c>
      <c r="AB47" s="83">
        <f t="shared" si="13"/>
        <v>1.4520781827015303</v>
      </c>
      <c r="AC47" s="83">
        <f>IF(AB47="N/A","N/A",IF('USER INPUT'!$B$6="TPSI3050",AD47*$B$5/$B$6, AD47*2*$B$5/$B$6))</f>
        <v>0.72603909135076516</v>
      </c>
      <c r="AD47" s="83">
        <f>IF(AB47="N/A","N/A",IF('USER INPUT'!$B$6="TPSI3050",(AB47-'USER INPUT'!B$13)*$B$6/($B$5+$B$6),(AB47-'USER INPUT'!B$13)*$B$6/(4*$B$5+$B$6)))</f>
        <v>0.72603909135076516</v>
      </c>
      <c r="AE47" s="94">
        <f t="shared" si="14"/>
        <v>1101.0770763220248</v>
      </c>
    </row>
    <row r="48" spans="1:31" x14ac:dyDescent="0.2">
      <c r="A48" s="19">
        <v>14.7</v>
      </c>
      <c r="B48" s="133">
        <v>5.2</v>
      </c>
      <c r="C48" s="133"/>
      <c r="D48" s="72">
        <f t="shared" si="0"/>
        <v>23.400000000000002</v>
      </c>
      <c r="E48" s="72">
        <f t="shared" si="1"/>
        <v>23.062500000000004</v>
      </c>
      <c r="F48" s="72">
        <f>E48*EFFICIENCY_MID</f>
        <v>9.0450154803076277</v>
      </c>
      <c r="G48" s="31">
        <f t="shared" si="2"/>
        <v>8.6410154803076278</v>
      </c>
      <c r="H48" s="20">
        <f t="shared" si="3"/>
        <v>0.8155460871591711</v>
      </c>
      <c r="I48" s="106">
        <f t="shared" si="4"/>
        <v>1038.7316380329139</v>
      </c>
      <c r="J48" s="90">
        <f t="shared" si="15"/>
        <v>46.753764175135721</v>
      </c>
      <c r="K48" s="50">
        <f t="shared" si="5"/>
        <v>0.92124684308590532</v>
      </c>
      <c r="L48" s="50">
        <f t="shared" si="6"/>
        <v>1.694316760844633</v>
      </c>
      <c r="O48" s="83">
        <f t="shared" si="7"/>
        <v>21.388652178979278</v>
      </c>
      <c r="P48" s="84">
        <f t="shared" si="8"/>
        <v>1.694316760844633</v>
      </c>
      <c r="Q48" s="84">
        <f t="shared" si="9"/>
        <v>0.85554608715917113</v>
      </c>
      <c r="R48" s="84" t="str">
        <f t="shared" si="10"/>
        <v>YES</v>
      </c>
      <c r="T48" s="40">
        <v>6</v>
      </c>
      <c r="U48" s="30">
        <f t="shared" si="16"/>
        <v>2.9000000000000002E-6</v>
      </c>
      <c r="V48" s="27">
        <f t="shared" si="11"/>
        <v>0.55038999936376332</v>
      </c>
      <c r="W48" s="30">
        <f t="shared" si="12"/>
        <v>2.0436421917304292E-5</v>
      </c>
      <c r="X48" s="30">
        <f t="shared" si="17"/>
        <v>2.3336421917304291E-5</v>
      </c>
      <c r="Y48" s="92">
        <f t="shared" si="18"/>
        <v>42.851470698620069</v>
      </c>
      <c r="Z48" s="75">
        <f t="shared" si="19"/>
        <v>0.14190350990671516</v>
      </c>
      <c r="AB48" s="83">
        <f t="shared" si="13"/>
        <v>1.694316760844633</v>
      </c>
      <c r="AC48" s="83">
        <f>IF(AB48="N/A","N/A",IF('USER INPUT'!$B$6="TPSI3050",AD48*$B$5/$B$6, AD48*2*$B$5/$B$6))</f>
        <v>0.8471583804223165</v>
      </c>
      <c r="AD48" s="83">
        <f>IF(AB48="N/A","N/A",IF('USER INPUT'!$B$6="TPSI3050",(AB48-'USER INPUT'!B$13)*$B$6/($B$5+$B$6),(AB48-'USER INPUT'!B$13)*$B$6/(4*$B$5+$B$6)))</f>
        <v>0.8471583804223165</v>
      </c>
      <c r="AE48" s="94">
        <f t="shared" si="14"/>
        <v>943.65471495599081</v>
      </c>
    </row>
    <row r="49" spans="1:34" x14ac:dyDescent="0.2">
      <c r="A49" s="19">
        <v>16.5</v>
      </c>
      <c r="B49" s="133">
        <v>6</v>
      </c>
      <c r="C49" s="133"/>
      <c r="D49" s="72">
        <f t="shared" si="0"/>
        <v>27</v>
      </c>
      <c r="E49" s="72">
        <f t="shared" si="1"/>
        <v>26.662500000000001</v>
      </c>
      <c r="F49" s="72">
        <f>E49*EFFICIENCY_HI</f>
        <v>10.975772585770288</v>
      </c>
      <c r="G49" s="31">
        <f t="shared" si="2"/>
        <v>10.571772585770288</v>
      </c>
      <c r="H49" s="20">
        <f t="shared" si="3"/>
        <v>1.0067101570069592</v>
      </c>
      <c r="I49" s="106">
        <f t="shared" si="4"/>
        <v>866.38891771588715</v>
      </c>
      <c r="J49" s="90">
        <f t="shared" si="15"/>
        <v>38.214972628505848</v>
      </c>
      <c r="K49" s="50">
        <f t="shared" si="5"/>
        <v>1.1054562230760345</v>
      </c>
      <c r="L49" s="50">
        <f t="shared" si="6"/>
        <v>2.0728965854451546</v>
      </c>
      <c r="O49" s="83">
        <f t="shared" si="7"/>
        <v>26.167753925173979</v>
      </c>
      <c r="P49" s="84">
        <f t="shared" si="8"/>
        <v>2.0728965854451546</v>
      </c>
      <c r="Q49" s="84">
        <f t="shared" si="9"/>
        <v>1.0467101570069592</v>
      </c>
      <c r="R49" s="84" t="str">
        <f t="shared" si="10"/>
        <v>YES</v>
      </c>
      <c r="T49" s="40">
        <v>7</v>
      </c>
      <c r="U49" s="30">
        <f t="shared" si="16"/>
        <v>2.9000000000000002E-6</v>
      </c>
      <c r="V49" s="27">
        <f t="shared" si="11"/>
        <v>0.55038999936376332</v>
      </c>
      <c r="W49" s="30">
        <f t="shared" si="12"/>
        <v>1.748531405920981E-5</v>
      </c>
      <c r="X49" s="30">
        <f t="shared" si="17"/>
        <v>2.038531405920981E-5</v>
      </c>
      <c r="Y49" s="92">
        <f t="shared" si="18"/>
        <v>49.054922435605718</v>
      </c>
      <c r="Z49" s="75">
        <f t="shared" si="19"/>
        <v>0.16585346938464174</v>
      </c>
      <c r="AB49" s="83">
        <f t="shared" si="13"/>
        <v>2.0728965854451546</v>
      </c>
      <c r="AC49" s="83">
        <f>IF(AB49="N/A","N/A",IF('USER INPUT'!$B$6="TPSI3050",AD49*$B$5/$B$6, AD49*2*$B$5/$B$6))</f>
        <v>1.0364482927225773</v>
      </c>
      <c r="AD49" s="83">
        <f>IF(AB49="N/A","N/A",IF('USER INPUT'!$B$6="TPSI3050",(AB49-'USER INPUT'!B$13)*$B$6/($B$5+$B$6),(AB49-'USER INPUT'!B$13)*$B$6/(4*$B$5+$B$6)))</f>
        <v>1.0364482927225773</v>
      </c>
      <c r="AE49" s="94">
        <f t="shared" si="14"/>
        <v>771.31199463896405</v>
      </c>
    </row>
    <row r="50" spans="1:34" x14ac:dyDescent="0.2">
      <c r="A50" s="19">
        <v>20</v>
      </c>
      <c r="B50" s="133">
        <v>6.7</v>
      </c>
      <c r="C50" s="133"/>
      <c r="D50" s="72">
        <f t="shared" si="0"/>
        <v>30.150000000000002</v>
      </c>
      <c r="E50" s="72">
        <f t="shared" si="1"/>
        <v>29.812500000000004</v>
      </c>
      <c r="F50" s="72">
        <f>E50*EFFICIENCY_HI</f>
        <v>12.272488334300112</v>
      </c>
      <c r="G50" s="31">
        <f t="shared" si="2"/>
        <v>11.868488334300112</v>
      </c>
      <c r="H50" s="20">
        <f t="shared" si="3"/>
        <v>1.1350978548811992</v>
      </c>
      <c r="I50" s="106">
        <f t="shared" si="4"/>
        <v>782.11766241307134</v>
      </c>
      <c r="J50" s="90">
        <f t="shared" si="15"/>
        <v>34.039718338217831</v>
      </c>
      <c r="K50" s="50">
        <f t="shared" si="5"/>
        <v>1.2252538831168567</v>
      </c>
      <c r="L50" s="50">
        <f t="shared" si="6"/>
        <v>2.3271545753529632</v>
      </c>
      <c r="O50" s="83">
        <f t="shared" si="7"/>
        <v>29.377446372029983</v>
      </c>
      <c r="P50" s="84">
        <f t="shared" si="8"/>
        <v>2.3271545753529632</v>
      </c>
      <c r="Q50" s="84">
        <f t="shared" si="9"/>
        <v>1.1750978548811992</v>
      </c>
      <c r="R50" s="84" t="str">
        <f t="shared" si="10"/>
        <v>YES</v>
      </c>
      <c r="T50" s="40">
        <v>8</v>
      </c>
      <c r="U50" s="30">
        <f t="shared" si="16"/>
        <v>2.9000000000000002E-6</v>
      </c>
      <c r="V50" s="27">
        <f t="shared" si="11"/>
        <v>0.55038999936376332</v>
      </c>
      <c r="W50" s="30">
        <f t="shared" si="12"/>
        <v>1.5278965282022454E-5</v>
      </c>
      <c r="X50" s="30">
        <f t="shared" si="17"/>
        <v>1.8178965282022453E-5</v>
      </c>
      <c r="Y50" s="92">
        <f t="shared" si="18"/>
        <v>55.008631376226916</v>
      </c>
      <c r="Z50" s="75">
        <f t="shared" si="19"/>
        <v>0.18980342886256835</v>
      </c>
      <c r="AB50" s="83">
        <f t="shared" si="13"/>
        <v>2.3271545753529632</v>
      </c>
      <c r="AC50" s="83">
        <f>IF(AB50="N/A","N/A",IF('USER INPUT'!$B$6="TPSI3050",AD50*$B$5/$B$6, AD50*2*$B$5/$B$6))</f>
        <v>1.1635772876764816</v>
      </c>
      <c r="AD50" s="83">
        <f>IF(AB50="N/A","N/A",IF('USER INPUT'!$B$6="TPSI3050",(AB50-'USER INPUT'!B$13)*$B$6/($B$5+$B$6),(AB50-'USER INPUT'!B$13)*$B$6/(4*$B$5+$B$6)))</f>
        <v>1.1635772876764816</v>
      </c>
      <c r="AE50" s="94">
        <f t="shared" si="14"/>
        <v>687.04073933614825</v>
      </c>
    </row>
    <row r="51" spans="1:34" x14ac:dyDescent="0.2">
      <c r="A51" s="21"/>
      <c r="B51" s="21"/>
      <c r="C51" s="21"/>
      <c r="D51" s="21"/>
      <c r="E51" s="21"/>
      <c r="F51" s="21"/>
      <c r="G51" s="21"/>
    </row>
    <row r="52" spans="1:34" x14ac:dyDescent="0.2">
      <c r="A52" s="22"/>
      <c r="B52" s="23"/>
      <c r="C52" s="23"/>
      <c r="D52" s="23"/>
      <c r="E52" s="23"/>
      <c r="F52" s="23"/>
      <c r="G52" s="23"/>
      <c r="H52" s="7"/>
      <c r="I52" s="7"/>
      <c r="J52" s="7"/>
      <c r="K52" s="7"/>
      <c r="L52" s="7"/>
      <c r="M52" s="7"/>
      <c r="N52" s="7"/>
      <c r="O52" s="7"/>
    </row>
    <row r="53" spans="1:34" x14ac:dyDescent="0.2">
      <c r="A53" s="13" t="s">
        <v>8</v>
      </c>
      <c r="B53" s="128"/>
      <c r="C53" s="129"/>
      <c r="D53" s="100"/>
      <c r="E53" s="129"/>
      <c r="F53" s="129"/>
      <c r="G53" s="129"/>
      <c r="H53" s="126"/>
      <c r="I53" s="126"/>
      <c r="J53" s="126"/>
      <c r="K53" s="10"/>
      <c r="L53" s="10"/>
      <c r="M53" s="10"/>
      <c r="N53" s="126"/>
      <c r="O53" s="126"/>
    </row>
    <row r="54" spans="1:34" ht="39.75" x14ac:dyDescent="0.3">
      <c r="A54" s="17" t="s">
        <v>82</v>
      </c>
      <c r="B54" s="68" t="s">
        <v>83</v>
      </c>
      <c r="C54" s="1" t="s">
        <v>24</v>
      </c>
      <c r="D54" s="1" t="s">
        <v>20</v>
      </c>
      <c r="E54" s="1" t="s">
        <v>152</v>
      </c>
      <c r="F54" s="18" t="s">
        <v>153</v>
      </c>
      <c r="G54" s="18" t="s">
        <v>4</v>
      </c>
      <c r="H54" s="18" t="s">
        <v>6</v>
      </c>
      <c r="I54" s="18" t="s">
        <v>33</v>
      </c>
      <c r="J54" s="18" t="s">
        <v>31</v>
      </c>
      <c r="K54" s="18" t="s">
        <v>120</v>
      </c>
      <c r="L54" s="85" t="s">
        <v>121</v>
      </c>
      <c r="N54" s="54"/>
      <c r="O54" s="68" t="s">
        <v>120</v>
      </c>
      <c r="P54" s="68" t="s">
        <v>99</v>
      </c>
      <c r="Q54" s="68" t="s">
        <v>32</v>
      </c>
      <c r="R54" s="1" t="s">
        <v>133</v>
      </c>
      <c r="U54" s="28" t="s">
        <v>21</v>
      </c>
      <c r="V54" s="1" t="s">
        <v>22</v>
      </c>
      <c r="W54" s="1" t="s">
        <v>23</v>
      </c>
      <c r="X54" s="1" t="s">
        <v>37</v>
      </c>
      <c r="Y54" s="58" t="s">
        <v>91</v>
      </c>
      <c r="AB54" s="28" t="s">
        <v>124</v>
      </c>
      <c r="AC54" s="1" t="s">
        <v>125</v>
      </c>
      <c r="AD54" s="1" t="s">
        <v>126</v>
      </c>
      <c r="AE54" s="3" t="s">
        <v>127</v>
      </c>
      <c r="AF54" s="3" t="s">
        <v>137</v>
      </c>
      <c r="AG54" s="3" t="s">
        <v>149</v>
      </c>
    </row>
    <row r="55" spans="1:34" x14ac:dyDescent="0.2">
      <c r="A55" s="19">
        <v>7.32</v>
      </c>
      <c r="B55" s="24">
        <v>0.13300000000000001</v>
      </c>
      <c r="C55" s="72">
        <f t="shared" ref="C55:C61" si="20">1000*B55*IVDDP_regresson_100percent</f>
        <v>5.9084053418144808</v>
      </c>
      <c r="D55" s="72">
        <f t="shared" ref="D55:D61" si="21">C55*VDDP</f>
        <v>29.542026709072402</v>
      </c>
      <c r="E55" s="72">
        <f t="shared" ref="E55:E61" si="22">D55-Iq_prim*1000*VDDP</f>
        <v>29.167026709072402</v>
      </c>
      <c r="F55" s="31">
        <f xml:space="preserve"> E55*EFFICIENCY_LO</f>
        <v>9.3207256910522638</v>
      </c>
      <c r="G55" s="31">
        <f xml:space="preserve"> (Y55/B55)*F55</f>
        <v>8.1994353823542472</v>
      </c>
      <c r="H55" s="20">
        <f t="shared" ref="H55:H61" si="23">G55/$B$13-$B$37*1000</f>
        <v>0.77182528538160866</v>
      </c>
      <c r="I55" s="106">
        <f>IF(R55="NO","N/A",$B$32+$B$33+AF55)</f>
        <v>279.03127522656013</v>
      </c>
      <c r="J55" s="90">
        <f>IF(O55="N/A", "N/A", 1000/O55)</f>
        <v>49.271685324752468</v>
      </c>
      <c r="K55" s="90">
        <f>IF(R55="NO","N/A",IF(O55&gt;100,100,O55))</f>
        <v>20.29563213454022</v>
      </c>
      <c r="L55" s="50">
        <f>P55</f>
        <v>1.6077324279125975</v>
      </c>
      <c r="M55" s="7"/>
      <c r="N55" s="9"/>
      <c r="O55" s="83">
        <f t="shared" ref="O55:O61" si="24">IF(R55="NO", "N/A", IF(1000*(G55-PREQ_DC)/VDDH/QTOTAL &lt; 0, "N/A", 1000*(G55-PREQ_DC)/VDDH/QTOTAL))</f>
        <v>20.29563213454022</v>
      </c>
      <c r="P55" s="83">
        <f t="shared" ref="P55:P61" si="25">IF(R55="NO", "N/A", IF((G55-PREQ_AC)/VDDM &lt; 0, "N/A", IF( (G55-PREQ_AC)/VDDM &gt;10, 10, (G55-PREQ_AC)/VDDM)))</f>
        <v>1.6077324279125975</v>
      </c>
      <c r="Q55" s="84">
        <f t="shared" ref="Q55:Q61" si="26">IF(R55="NO", "N/A", IF((G55-PREQ_DC)/VDDH&lt;=0, "N/A", (G55-PREQ_DC)/VDDH))</f>
        <v>0.8118252853816087</v>
      </c>
      <c r="R55" s="84" t="str">
        <f t="shared" ref="R55:R61" si="27">IF(PREQ_TOTAL &gt; G55, "NO", "YES")</f>
        <v>YES</v>
      </c>
      <c r="S55" s="74"/>
      <c r="U55" s="30">
        <f>W55*B55-0.0000004</f>
        <v>2.9250000000000004E-6</v>
      </c>
      <c r="V55" s="30">
        <f t="shared" ref="V55:V61" si="28">W55-U55</f>
        <v>2.2075000000000001E-5</v>
      </c>
      <c r="W55" s="30">
        <f>0.000025</f>
        <v>2.5000000000000001E-5</v>
      </c>
      <c r="X55" s="40">
        <f>1/W55/1000</f>
        <v>40</v>
      </c>
      <c r="Y55" s="75">
        <f>U55/W55</f>
        <v>0.11700000000000001</v>
      </c>
      <c r="AB55" s="83">
        <f>IF(R55="NO", "N/A",(G55)/$B$12)</f>
        <v>1.6077324279125975</v>
      </c>
      <c r="AC55" s="83">
        <f>IF(AB55="N/A","N/A",IF('USER INPUT'!$B$6="TPSI3050",AD55*$B$5/$B$6, AD55*2*$B$5/$B$6))</f>
        <v>0.80386621395629865</v>
      </c>
      <c r="AD55" s="83">
        <f>IF(AB55="N/A","N/A",IF('USER INPUT'!$B$6="TPSI3050",(AB55-'USER INPUT'!B$13)*$B$6/($B$5+$B$6),(AB55-'USER INPUT'!B$13)*$B$6/(4*$B$5+$B$6)))</f>
        <v>0.80386621395629865</v>
      </c>
      <c r="AE55" s="83">
        <f t="shared" ref="AE55:AE61" si="29">IF($AD$60*100/$B$6&gt; $B$12, "MAX", $AD$60*100/$B$6)</f>
        <v>4.2504738230264607</v>
      </c>
      <c r="AF55" s="94">
        <f t="shared" ref="AF55:AF61" si="30">IF(AE55="MAX", $B$6*0.95*$B$12/$AD$60, 100+$B$6*(0.95*$B$12-AE55)/AD55)</f>
        <v>222.03127522656013</v>
      </c>
      <c r="AG55" s="83">
        <f t="shared" ref="AG55:AG61" si="31">IF($AD$60*100/$B$6&gt; $B$14, $B$6*$B$14/$AD$60+$B$32+$B$33, 100+$B$32+$B$33+$B$6*($B$14-AE55)/AD55)</f>
        <v>116.40514175904573</v>
      </c>
      <c r="AH55" s="99"/>
    </row>
    <row r="56" spans="1:34" x14ac:dyDescent="0.2">
      <c r="A56" s="35">
        <v>9.09</v>
      </c>
      <c r="B56" s="36">
        <v>0.21099999999999999</v>
      </c>
      <c r="C56" s="72">
        <f t="shared" si="20"/>
        <v>9.3734851663372591</v>
      </c>
      <c r="D56" s="72">
        <f t="shared" si="21"/>
        <v>46.867425831686297</v>
      </c>
      <c r="E56" s="72">
        <f t="shared" si="22"/>
        <v>46.492425831686297</v>
      </c>
      <c r="F56" s="31">
        <f xml:space="preserve"> E56*EFFICIENCY_LO</f>
        <v>14.857295953102723</v>
      </c>
      <c r="G56" s="31">
        <f t="shared" ref="G56:G61" si="32" xml:space="preserve"> (Y56/B56)*F56</f>
        <v>13.730676354763178</v>
      </c>
      <c r="H56" s="20">
        <f t="shared" si="23"/>
        <v>1.3194729064121959</v>
      </c>
      <c r="I56" s="106">
        <f t="shared" ref="I56:I61" si="33">IF(R56="NO","N/A",$B$32+$B$33+AF56)</f>
        <v>229.87241574952438</v>
      </c>
      <c r="J56" s="90">
        <f t="shared" ref="J56:J61" si="34">IF(O56="N/A", "N/A", 1000/O56)</f>
        <v>29.423168208305501</v>
      </c>
      <c r="K56" s="90">
        <f t="shared" ref="K56:K61" si="35">IF(R56="NO","N/A",IF(O56&gt;100,100,O56))</f>
        <v>33.986822660304895</v>
      </c>
      <c r="L56" s="50">
        <f t="shared" ref="L56:L61" si="36">P56</f>
        <v>2.6922894813261133</v>
      </c>
      <c r="N56" s="9"/>
      <c r="O56" s="83">
        <f t="shared" si="24"/>
        <v>33.986822660304895</v>
      </c>
      <c r="P56" s="83">
        <f t="shared" si="25"/>
        <v>2.6922894813261133</v>
      </c>
      <c r="Q56" s="84">
        <f t="shared" si="26"/>
        <v>1.359472906412196</v>
      </c>
      <c r="R56" s="84" t="str">
        <f t="shared" si="27"/>
        <v>YES</v>
      </c>
      <c r="U56" s="30">
        <f t="shared" ref="U56:U61" si="37">W56*B56-0.0000004</f>
        <v>4.8749999999999999E-6</v>
      </c>
      <c r="V56" s="30">
        <f t="shared" si="28"/>
        <v>2.0125000000000001E-5</v>
      </c>
      <c r="W56" s="30">
        <f t="shared" ref="W56:W61" si="38">0.000025</f>
        <v>2.5000000000000001E-5</v>
      </c>
      <c r="X56" s="40">
        <f t="shared" ref="X56:X61" si="39">1/W56/1000</f>
        <v>40</v>
      </c>
      <c r="Y56" s="75">
        <f t="shared" ref="Y56:Y61" si="40">U56/W56</f>
        <v>0.19499999999999998</v>
      </c>
      <c r="AB56" s="83">
        <f t="shared" ref="AB56:AB61" si="41">IF(R56="NO", "N/A",(G56)/$B$12)</f>
        <v>2.6922894813261133</v>
      </c>
      <c r="AC56" s="83">
        <f>IF(AB56="N/A","N/A",IF('USER INPUT'!$B$6="TPSI3050",AD56*$B$5/$B$6, AD56*2*$B$5/$B$6))</f>
        <v>1.3461447406630567</v>
      </c>
      <c r="AD56" s="83">
        <f>IF(AB56="N/A","N/A",IF('USER INPUT'!$B$6="TPSI3050",(AB56-'USER INPUT'!B$13)*$B$6/($B$5+$B$6),(AB56-'USER INPUT'!B$13)*$B$6/(4*$B$5+$B$6)))</f>
        <v>1.3461447406630567</v>
      </c>
      <c r="AE56" s="83">
        <f t="shared" si="29"/>
        <v>4.2504738230264607</v>
      </c>
      <c r="AF56" s="94">
        <f t="shared" si="30"/>
        <v>172.87241574952438</v>
      </c>
      <c r="AG56" s="83">
        <f t="shared" si="31"/>
        <v>116.40514175904573</v>
      </c>
      <c r="AH56" s="99"/>
    </row>
    <row r="57" spans="1:34" x14ac:dyDescent="0.2">
      <c r="A57" s="19">
        <v>11</v>
      </c>
      <c r="B57" s="24">
        <v>0.4</v>
      </c>
      <c r="C57" s="72">
        <f t="shared" si="20"/>
        <v>17.769640125757839</v>
      </c>
      <c r="D57" s="72">
        <f t="shared" si="21"/>
        <v>88.848200628789186</v>
      </c>
      <c r="E57" s="72">
        <f t="shared" si="22"/>
        <v>88.473200628789186</v>
      </c>
      <c r="F57" s="31">
        <f xml:space="preserve"> E57*EFFICIENCY_MID</f>
        <v>34.698817096141383</v>
      </c>
      <c r="G57" s="31">
        <f t="shared" si="32"/>
        <v>33.310864412295729</v>
      </c>
      <c r="H57" s="20">
        <f t="shared" si="23"/>
        <v>3.2581053873560126</v>
      </c>
      <c r="I57" s="106">
        <f t="shared" si="33"/>
        <v>187.03787423412311</v>
      </c>
      <c r="J57" s="90">
        <f t="shared" si="34"/>
        <v>12.128175210333938</v>
      </c>
      <c r="K57" s="90">
        <f t="shared" si="35"/>
        <v>82.452634683900314</v>
      </c>
      <c r="L57" s="50">
        <f t="shared" si="36"/>
        <v>6.5315420416266141</v>
      </c>
      <c r="N57" s="9"/>
      <c r="O57" s="83">
        <f t="shared" si="24"/>
        <v>82.452634683900314</v>
      </c>
      <c r="P57" s="83">
        <f t="shared" si="25"/>
        <v>6.5315420416266141</v>
      </c>
      <c r="Q57" s="84">
        <f t="shared" si="26"/>
        <v>3.2981053873560127</v>
      </c>
      <c r="R57" s="84" t="str">
        <f t="shared" si="27"/>
        <v>YES</v>
      </c>
      <c r="U57" s="30">
        <f t="shared" si="37"/>
        <v>9.6000000000000013E-6</v>
      </c>
      <c r="V57" s="30">
        <f t="shared" si="28"/>
        <v>1.5400000000000002E-5</v>
      </c>
      <c r="W57" s="30">
        <f t="shared" si="38"/>
        <v>2.5000000000000001E-5</v>
      </c>
      <c r="X57" s="40">
        <f t="shared" si="39"/>
        <v>40</v>
      </c>
      <c r="Y57" s="75">
        <f t="shared" si="40"/>
        <v>0.38400000000000001</v>
      </c>
      <c r="AB57" s="83">
        <f t="shared" si="41"/>
        <v>6.5315420416266141</v>
      </c>
      <c r="AC57" s="83">
        <f>IF(AB57="N/A","N/A",IF('USER INPUT'!$B$6="TPSI3050",AD57*$B$5/$B$6, AD57*2*$B$5/$B$6))</f>
        <v>3.2657710208133075</v>
      </c>
      <c r="AD57" s="83">
        <f>IF(AB57="N/A","N/A",IF('USER INPUT'!$B$6="TPSI3050",(AB57-'USER INPUT'!B$13)*$B$6/($B$5+$B$6),(AB57-'USER INPUT'!B$13)*$B$6/(4*$B$5+$B$6)))</f>
        <v>3.2657710208133075</v>
      </c>
      <c r="AE57" s="83">
        <f t="shared" si="29"/>
        <v>4.2504738230264607</v>
      </c>
      <c r="AF57" s="94">
        <f t="shared" si="30"/>
        <v>130.03787423412311</v>
      </c>
      <c r="AG57" s="83">
        <f t="shared" si="31"/>
        <v>116.40514175904573</v>
      </c>
      <c r="AH57" s="99"/>
    </row>
    <row r="58" spans="1:34" x14ac:dyDescent="0.2">
      <c r="A58" s="19">
        <v>12.7</v>
      </c>
      <c r="B58" s="24">
        <v>0.53300000000000003</v>
      </c>
      <c r="C58" s="72">
        <f t="shared" si="20"/>
        <v>23.678045467572318</v>
      </c>
      <c r="D58" s="72">
        <f t="shared" si="21"/>
        <v>118.39022733786159</v>
      </c>
      <c r="E58" s="72">
        <f t="shared" si="22"/>
        <v>118.01522733786159</v>
      </c>
      <c r="F58" s="31">
        <f xml:space="preserve"> E58*EFFICIENCY_MID</f>
        <v>46.285075693571024</v>
      </c>
      <c r="G58" s="31">
        <f t="shared" si="32"/>
        <v>44.895655034852204</v>
      </c>
      <c r="H58" s="20">
        <f t="shared" si="23"/>
        <v>4.4051143598863574</v>
      </c>
      <c r="I58" s="106">
        <f t="shared" si="33"/>
        <v>179.28695750334228</v>
      </c>
      <c r="J58" s="90">
        <f t="shared" si="34"/>
        <v>8.9986436256777491</v>
      </c>
      <c r="K58" s="90">
        <f t="shared" si="35"/>
        <v>100</v>
      </c>
      <c r="L58" s="50">
        <f t="shared" si="36"/>
        <v>8.8030696146769039</v>
      </c>
      <c r="N58" s="9"/>
      <c r="O58" s="83">
        <f t="shared" si="24"/>
        <v>111.12785899715894</v>
      </c>
      <c r="P58" s="83">
        <f t="shared" si="25"/>
        <v>8.8030696146769039</v>
      </c>
      <c r="Q58" s="84">
        <f t="shared" si="26"/>
        <v>4.4451143598863574</v>
      </c>
      <c r="R58" s="84" t="str">
        <f t="shared" si="27"/>
        <v>YES</v>
      </c>
      <c r="U58" s="30">
        <f t="shared" si="37"/>
        <v>1.2925000000000002E-5</v>
      </c>
      <c r="V58" s="30">
        <f t="shared" si="28"/>
        <v>1.2074999999999999E-5</v>
      </c>
      <c r="W58" s="30">
        <f t="shared" si="38"/>
        <v>2.5000000000000001E-5</v>
      </c>
      <c r="X58" s="40">
        <f t="shared" si="39"/>
        <v>40</v>
      </c>
      <c r="Y58" s="75">
        <f t="shared" si="40"/>
        <v>0.51700000000000013</v>
      </c>
      <c r="AB58" s="83">
        <f t="shared" si="41"/>
        <v>8.8030696146769039</v>
      </c>
      <c r="AC58" s="83">
        <f>IF(AB58="N/A","N/A",IF('USER INPUT'!$B$6="TPSI3050",AD58*$B$5/$B$6, AD58*2*$B$5/$B$6))</f>
        <v>4.4015348073384519</v>
      </c>
      <c r="AD58" s="83">
        <f>IF(AB58="N/A","N/A",IF('USER INPUT'!$B$6="TPSI3050",(AB58-'USER INPUT'!B$13)*$B$6/($B$5+$B$6),(AB58-'USER INPUT'!B$13)*$B$6/(4*$B$5+$B$6)))</f>
        <v>4.4015348073384519</v>
      </c>
      <c r="AE58" s="83">
        <f t="shared" si="29"/>
        <v>4.2504738230264607</v>
      </c>
      <c r="AF58" s="94">
        <f t="shared" si="30"/>
        <v>122.28695750334228</v>
      </c>
      <c r="AG58" s="83">
        <f t="shared" si="31"/>
        <v>116.40514175904573</v>
      </c>
      <c r="AH58" s="99"/>
    </row>
    <row r="59" spans="1:34" x14ac:dyDescent="0.2">
      <c r="A59" s="19">
        <v>14.7</v>
      </c>
      <c r="B59" s="24">
        <v>0.66700000000000004</v>
      </c>
      <c r="C59" s="72">
        <f t="shared" si="20"/>
        <v>29.630874909701195</v>
      </c>
      <c r="D59" s="72">
        <f t="shared" si="21"/>
        <v>148.15437454850598</v>
      </c>
      <c r="E59" s="72">
        <f t="shared" si="22"/>
        <v>147.77937454850598</v>
      </c>
      <c r="F59" s="31">
        <f xml:space="preserve"> E59*EFFICIENCY_MID</f>
        <v>57.958449017297141</v>
      </c>
      <c r="G59" s="31">
        <f t="shared" si="32"/>
        <v>56.568141394693306</v>
      </c>
      <c r="H59" s="20">
        <f t="shared" si="23"/>
        <v>5.5608060786825053</v>
      </c>
      <c r="I59" s="106">
        <f t="shared" si="33"/>
        <v>174.68818156610553</v>
      </c>
      <c r="J59" s="90">
        <f t="shared" si="34"/>
        <v>7.141829129247288</v>
      </c>
      <c r="K59" s="90">
        <f t="shared" si="35"/>
        <v>100</v>
      </c>
      <c r="L59" s="50">
        <f t="shared" si="36"/>
        <v>10</v>
      </c>
      <c r="N59" s="9"/>
      <c r="O59" s="83">
        <f t="shared" si="24"/>
        <v>140.02015196706265</v>
      </c>
      <c r="P59" s="83">
        <f t="shared" si="25"/>
        <v>10</v>
      </c>
      <c r="Q59" s="84">
        <f t="shared" si="26"/>
        <v>5.6008060786825054</v>
      </c>
      <c r="R59" s="84" t="str">
        <f t="shared" si="27"/>
        <v>YES</v>
      </c>
      <c r="U59" s="30">
        <f t="shared" si="37"/>
        <v>1.6275000000000003E-5</v>
      </c>
      <c r="V59" s="30">
        <f t="shared" si="28"/>
        <v>8.7249999999999986E-6</v>
      </c>
      <c r="W59" s="30">
        <f t="shared" si="38"/>
        <v>2.5000000000000001E-5</v>
      </c>
      <c r="X59" s="40">
        <f t="shared" si="39"/>
        <v>40</v>
      </c>
      <c r="Y59" s="75">
        <f t="shared" si="40"/>
        <v>0.65100000000000002</v>
      </c>
      <c r="AB59" s="83">
        <f t="shared" si="41"/>
        <v>11.091792430332022</v>
      </c>
      <c r="AC59" s="83">
        <f>IF(AB59="N/A","N/A",IF('USER INPUT'!$B$6="TPSI3050",AD59*$B$5/$B$6, AD59*2*$B$5/$B$6))</f>
        <v>5.5458962151660112</v>
      </c>
      <c r="AD59" s="83">
        <f>IF(AB59="N/A","N/A",IF('USER INPUT'!$B$6="TPSI3050",(AB59-'USER INPUT'!B$13)*$B$6/($B$5+$B$6),(AB59-'USER INPUT'!B$13)*$B$6/(4*$B$5+$B$6)))</f>
        <v>5.5458962151660112</v>
      </c>
      <c r="AE59" s="83">
        <f t="shared" si="29"/>
        <v>4.2504738230264607</v>
      </c>
      <c r="AF59" s="94">
        <f t="shared" si="30"/>
        <v>117.68818156610554</v>
      </c>
      <c r="AG59" s="83">
        <f t="shared" si="31"/>
        <v>116.40514175904573</v>
      </c>
      <c r="AH59" s="99"/>
    </row>
    <row r="60" spans="1:34" x14ac:dyDescent="0.2">
      <c r="A60" s="19">
        <v>16.5</v>
      </c>
      <c r="B60" s="24">
        <v>0.8</v>
      </c>
      <c r="C60" s="72">
        <f t="shared" si="20"/>
        <v>35.539280251515677</v>
      </c>
      <c r="D60" s="72">
        <f t="shared" si="21"/>
        <v>177.69640125757837</v>
      </c>
      <c r="E60" s="72">
        <f t="shared" si="22"/>
        <v>177.32140125757837</v>
      </c>
      <c r="F60" s="31">
        <f xml:space="preserve"> E60*EFFICIENCY_HI</f>
        <v>72.995382083199317</v>
      </c>
      <c r="G60" s="31">
        <f t="shared" si="32"/>
        <v>71.535474441535328</v>
      </c>
      <c r="H60" s="20">
        <f t="shared" si="23"/>
        <v>7.0427202417361716</v>
      </c>
      <c r="I60" s="106">
        <f t="shared" si="33"/>
        <v>170.98729181092142</v>
      </c>
      <c r="J60" s="90">
        <f t="shared" si="34"/>
        <v>5.6475476419770159</v>
      </c>
      <c r="K60" s="90">
        <f t="shared" si="35"/>
        <v>100</v>
      </c>
      <c r="L60" s="50">
        <f t="shared" si="36"/>
        <v>10</v>
      </c>
      <c r="N60" s="9"/>
      <c r="O60" s="83">
        <f t="shared" si="24"/>
        <v>177.0680060434043</v>
      </c>
      <c r="P60" s="83">
        <f t="shared" si="25"/>
        <v>10</v>
      </c>
      <c r="Q60" s="84">
        <f t="shared" si="26"/>
        <v>7.0827202417361717</v>
      </c>
      <c r="R60" s="84" t="str">
        <f t="shared" si="27"/>
        <v>YES</v>
      </c>
      <c r="U60" s="30">
        <f t="shared" si="37"/>
        <v>1.9600000000000002E-5</v>
      </c>
      <c r="V60" s="30">
        <f t="shared" si="28"/>
        <v>5.3999999999999991E-6</v>
      </c>
      <c r="W60" s="30">
        <f t="shared" si="38"/>
        <v>2.5000000000000001E-5</v>
      </c>
      <c r="X60" s="40">
        <f t="shared" si="39"/>
        <v>40</v>
      </c>
      <c r="Y60" s="75">
        <f t="shared" si="40"/>
        <v>0.78400000000000003</v>
      </c>
      <c r="AB60" s="83">
        <f t="shared" si="41"/>
        <v>14.026563615987321</v>
      </c>
      <c r="AC60" s="83">
        <f>IF(AB60="N/A","N/A",IF('USER INPUT'!$B$6="TPSI3050",AD60*$B$5/$B$6, AD60*2*$B$5/$B$6))</f>
        <v>7.0132818079936605</v>
      </c>
      <c r="AD60" s="83">
        <f>IF(AB60="N/A","N/A",IF('USER INPUT'!$B$6="TPSI3050",(AB60-'USER INPUT'!B$13)*$B$6/($B$5+$B$6),(AB60-'USER INPUT'!B$13)*$B$6/(4*$B$5+$B$6)))</f>
        <v>7.0132818079936605</v>
      </c>
      <c r="AE60" s="83">
        <f t="shared" si="29"/>
        <v>4.2504738230264607</v>
      </c>
      <c r="AF60" s="94">
        <f t="shared" si="30"/>
        <v>113.98729181092142</v>
      </c>
      <c r="AG60" s="83">
        <f t="shared" si="31"/>
        <v>116.40514175904573</v>
      </c>
      <c r="AH60" s="99"/>
    </row>
    <row r="61" spans="1:34" x14ac:dyDescent="0.2">
      <c r="A61" s="19">
        <v>20</v>
      </c>
      <c r="B61" s="24">
        <v>0.93300000000000005</v>
      </c>
      <c r="C61" s="72">
        <f t="shared" si="20"/>
        <v>41.447685593330156</v>
      </c>
      <c r="D61" s="72">
        <f t="shared" si="21"/>
        <v>207.23842796665079</v>
      </c>
      <c r="E61" s="72">
        <f t="shared" si="22"/>
        <v>206.86342796665079</v>
      </c>
      <c r="F61" s="31">
        <f xml:space="preserve"> E61*EFFICIENCY_HI</f>
        <v>85.156528520387525</v>
      </c>
      <c r="G61" s="31">
        <f t="shared" si="32"/>
        <v>83.696180764410883</v>
      </c>
      <c r="H61" s="20">
        <f t="shared" si="23"/>
        <v>8.2467505707337523</v>
      </c>
      <c r="I61" s="106">
        <f t="shared" si="33"/>
        <v>168.9549965925319</v>
      </c>
      <c r="J61" s="90">
        <f t="shared" si="34"/>
        <v>4.826982501593287</v>
      </c>
      <c r="K61" s="90">
        <f t="shared" si="35"/>
        <v>100</v>
      </c>
      <c r="L61" s="50">
        <f t="shared" si="36"/>
        <v>10</v>
      </c>
      <c r="N61" s="9"/>
      <c r="O61" s="83">
        <f t="shared" si="24"/>
        <v>207.16876426834378</v>
      </c>
      <c r="P61" s="83">
        <f t="shared" si="25"/>
        <v>10</v>
      </c>
      <c r="Q61" s="84">
        <f t="shared" si="26"/>
        <v>8.2867505707337514</v>
      </c>
      <c r="R61" s="84" t="str">
        <f t="shared" si="27"/>
        <v>YES</v>
      </c>
      <c r="U61" s="30">
        <f t="shared" si="37"/>
        <v>2.2925000000000002E-5</v>
      </c>
      <c r="V61" s="30">
        <f t="shared" si="28"/>
        <v>2.0749999999999996E-6</v>
      </c>
      <c r="W61" s="30">
        <f t="shared" si="38"/>
        <v>2.5000000000000001E-5</v>
      </c>
      <c r="X61" s="40">
        <f t="shared" si="39"/>
        <v>40</v>
      </c>
      <c r="Y61" s="75">
        <f t="shared" si="40"/>
        <v>0.91700000000000004</v>
      </c>
      <c r="AB61" s="83">
        <f t="shared" si="41"/>
        <v>16.411015836158999</v>
      </c>
      <c r="AC61" s="83">
        <f>IF(AB61="N/A","N/A",IF('USER INPUT'!$B$6="TPSI3050",AD61*$B$5/$B$6, AD61*2*$B$5/$B$6))</f>
        <v>8.2055079180794994</v>
      </c>
      <c r="AD61" s="83">
        <f>IF(AB61="N/A","N/A",IF('USER INPUT'!$B$6="TPSI3050",(AB61-'USER INPUT'!B$13)*$B$6/($B$5+$B$6),(AB61-'USER INPUT'!B$13)*$B$6/(4*$B$5+$B$6)))</f>
        <v>8.2055079180794994</v>
      </c>
      <c r="AE61" s="83">
        <f t="shared" si="29"/>
        <v>4.2504738230264607</v>
      </c>
      <c r="AF61" s="94">
        <f t="shared" si="30"/>
        <v>111.9549965925319</v>
      </c>
      <c r="AG61" s="83">
        <f t="shared" si="31"/>
        <v>116.40514175904573</v>
      </c>
      <c r="AH61" s="99"/>
    </row>
    <row r="63" spans="1:34" s="6" customFormat="1" x14ac:dyDescent="0.2">
      <c r="B63" s="125"/>
      <c r="C63" s="125"/>
      <c r="D63" s="125"/>
      <c r="E63" s="125"/>
      <c r="F63" s="125"/>
      <c r="G63" s="125"/>
      <c r="H63" s="125"/>
      <c r="I63" s="125"/>
      <c r="J63" s="125"/>
      <c r="K63" s="125"/>
      <c r="L63" s="125"/>
      <c r="M63" s="125"/>
      <c r="N63" s="125"/>
      <c r="O63" s="125"/>
      <c r="P63" s="125"/>
      <c r="Q63" s="125"/>
      <c r="R63" s="125"/>
      <c r="S63" s="125"/>
      <c r="T63" s="125"/>
    </row>
  </sheetData>
  <sheetProtection password="A3CD" sheet="1" objects="1" scenarios="1" selectLockedCells="1" selectUnlockedCells="1"/>
  <mergeCells count="52">
    <mergeCell ref="B50:C50"/>
    <mergeCell ref="B43:C43"/>
    <mergeCell ref="B44:C44"/>
    <mergeCell ref="B45:C45"/>
    <mergeCell ref="B46:C46"/>
    <mergeCell ref="B47:C47"/>
    <mergeCell ref="E2:J2"/>
    <mergeCell ref="E9:J9"/>
    <mergeCell ref="E3:J3"/>
    <mergeCell ref="B48:C48"/>
    <mergeCell ref="B49:C49"/>
    <mergeCell ref="E39:J39"/>
    <mergeCell ref="E7:J7"/>
    <mergeCell ref="E32:J32"/>
    <mergeCell ref="E33:J33"/>
    <mergeCell ref="E17:J17"/>
    <mergeCell ref="E34:J34"/>
    <mergeCell ref="E8:J8"/>
    <mergeCell ref="E18:J18"/>
    <mergeCell ref="E16:J16"/>
    <mergeCell ref="E12:J12"/>
    <mergeCell ref="E13:J13"/>
    <mergeCell ref="E10:J10"/>
    <mergeCell ref="E38:J38"/>
    <mergeCell ref="E25:J25"/>
    <mergeCell ref="E30:J30"/>
    <mergeCell ref="E6:J6"/>
    <mergeCell ref="E27:J27"/>
    <mergeCell ref="E28:J28"/>
    <mergeCell ref="E29:J29"/>
    <mergeCell ref="E24:J24"/>
    <mergeCell ref="E22:J22"/>
    <mergeCell ref="E23:J23"/>
    <mergeCell ref="E19:J19"/>
    <mergeCell ref="E20:J20"/>
    <mergeCell ref="E21:J21"/>
    <mergeCell ref="E4:J4"/>
    <mergeCell ref="B63:T63"/>
    <mergeCell ref="N53:O53"/>
    <mergeCell ref="E35:J35"/>
    <mergeCell ref="E5:J5"/>
    <mergeCell ref="E37:J37"/>
    <mergeCell ref="B53:C53"/>
    <mergeCell ref="E53:G53"/>
    <mergeCell ref="H53:J53"/>
    <mergeCell ref="E11:J11"/>
    <mergeCell ref="E36:J36"/>
    <mergeCell ref="E40:J40"/>
    <mergeCell ref="E15:J15"/>
    <mergeCell ref="E31:J31"/>
    <mergeCell ref="E14:J14"/>
    <mergeCell ref="E26:J26"/>
  </mergeCells>
  <conditionalFormatting sqref="I55:I61">
    <cfRule type="containsText" dxfId="34" priority="28" operator="containsText" text="N/A">
      <formula>NOT(ISERROR(SEARCH("N/A",I55)))</formula>
    </cfRule>
  </conditionalFormatting>
  <conditionalFormatting sqref="J55:J61">
    <cfRule type="containsText" dxfId="33" priority="27" operator="containsText" text="N/A">
      <formula>NOT(ISERROR(SEARCH("N/A",J55)))</formula>
    </cfRule>
  </conditionalFormatting>
  <conditionalFormatting sqref="K55:K61">
    <cfRule type="containsText" dxfId="32" priority="24" operator="containsText" text="N/A">
      <formula>NOT(ISERROR(SEARCH("N/A",K55)))</formula>
    </cfRule>
  </conditionalFormatting>
  <conditionalFormatting sqref="L55:L61">
    <cfRule type="containsText" dxfId="31" priority="18" operator="containsText" text="N/A">
      <formula>NOT(ISERROR(SEARCH("N/A",L55)))</formula>
    </cfRule>
  </conditionalFormatting>
  <conditionalFormatting sqref="I64">
    <cfRule type="containsText" dxfId="30" priority="17" operator="containsText" text="N/A">
      <formula>NOT(ISERROR(SEARCH("N/A",I64)))</formula>
    </cfRule>
  </conditionalFormatting>
  <conditionalFormatting sqref="J64">
    <cfRule type="containsText" dxfId="29" priority="16" operator="containsText" text="N/A">
      <formula>NOT(ISERROR(SEARCH("N/A",J64)))</formula>
    </cfRule>
  </conditionalFormatting>
  <conditionalFormatting sqref="I44:L50">
    <cfRule type="containsText" dxfId="28" priority="13" operator="containsText" text="N/A">
      <formula>NOT(ISERROR(SEARCH("N/A",I44)))</formula>
    </cfRule>
  </conditionalFormatting>
  <conditionalFormatting sqref="A53:L61">
    <cfRule type="expression" dxfId="27" priority="7" stopIfTrue="1">
      <formula>OR($B$2=2)</formula>
    </cfRule>
  </conditionalFormatting>
  <conditionalFormatting sqref="A42:L50">
    <cfRule type="expression" dxfId="26" priority="6" stopIfTrue="1">
      <formula>OR($B$2=3)</formula>
    </cfRule>
  </conditionalFormatting>
  <pageMargins left="0.7" right="0.7" top="0.75" bottom="0.75" header="0.3" footer="0.3"/>
  <pageSetup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91A38-9E6E-4670-8E22-614B06C9BBDA}">
  <dimension ref="A1:B29"/>
  <sheetViews>
    <sheetView workbookViewId="0">
      <selection activeCell="B35" sqref="B35"/>
    </sheetView>
  </sheetViews>
  <sheetFormatPr defaultRowHeight="12.75" x14ac:dyDescent="0.2"/>
  <cols>
    <col min="2" max="2" width="72.7109375" customWidth="1"/>
  </cols>
  <sheetData>
    <row r="1" spans="1:2" x14ac:dyDescent="0.2">
      <c r="A1" s="11" t="s">
        <v>56</v>
      </c>
      <c r="B1" s="11" t="s">
        <v>57</v>
      </c>
    </row>
    <row r="2" spans="1:2" x14ac:dyDescent="0.2">
      <c r="A2" s="48">
        <v>1</v>
      </c>
      <c r="B2" s="59" t="s">
        <v>58</v>
      </c>
    </row>
    <row r="3" spans="1:2" x14ac:dyDescent="0.2">
      <c r="A3" s="48">
        <v>1.1000000000000001</v>
      </c>
      <c r="B3" t="s">
        <v>69</v>
      </c>
    </row>
    <row r="4" spans="1:2" x14ac:dyDescent="0.2">
      <c r="B4" t="s">
        <v>72</v>
      </c>
    </row>
    <row r="5" spans="1:2" x14ac:dyDescent="0.2">
      <c r="B5" t="s">
        <v>71</v>
      </c>
    </row>
    <row r="6" spans="1:2" x14ac:dyDescent="0.2">
      <c r="B6" t="s">
        <v>80</v>
      </c>
    </row>
    <row r="7" spans="1:2" x14ac:dyDescent="0.2">
      <c r="B7" t="s">
        <v>95</v>
      </c>
    </row>
    <row r="8" spans="1:2" x14ac:dyDescent="0.2">
      <c r="B8" t="s">
        <v>85</v>
      </c>
    </row>
    <row r="9" spans="1:2" ht="15.75" x14ac:dyDescent="0.3">
      <c r="B9" t="s">
        <v>84</v>
      </c>
    </row>
    <row r="10" spans="1:2" x14ac:dyDescent="0.2">
      <c r="B10" t="s">
        <v>92</v>
      </c>
    </row>
    <row r="11" spans="1:2" x14ac:dyDescent="0.2">
      <c r="B11" t="s">
        <v>96</v>
      </c>
    </row>
    <row r="12" spans="1:2" x14ac:dyDescent="0.2">
      <c r="A12" s="48">
        <v>1.2</v>
      </c>
      <c r="B12" t="s">
        <v>128</v>
      </c>
    </row>
    <row r="13" spans="1:2" ht="15.75" x14ac:dyDescent="0.3">
      <c r="B13" t="s">
        <v>129</v>
      </c>
    </row>
    <row r="14" spans="1:2" ht="15.75" x14ac:dyDescent="0.3">
      <c r="B14" t="s">
        <v>132</v>
      </c>
    </row>
    <row r="15" spans="1:2" ht="15.75" x14ac:dyDescent="0.3">
      <c r="B15" t="s">
        <v>136</v>
      </c>
    </row>
    <row r="16" spans="1:2" x14ac:dyDescent="0.2">
      <c r="A16">
        <v>1.21</v>
      </c>
      <c r="B16" t="s">
        <v>140</v>
      </c>
    </row>
    <row r="17" spans="1:2" x14ac:dyDescent="0.2">
      <c r="B17" t="s">
        <v>139</v>
      </c>
    </row>
    <row r="18" spans="1:2" x14ac:dyDescent="0.2">
      <c r="B18" t="s">
        <v>141</v>
      </c>
    </row>
    <row r="19" spans="1:2" x14ac:dyDescent="0.2">
      <c r="A19">
        <v>1.22</v>
      </c>
      <c r="B19" t="s">
        <v>143</v>
      </c>
    </row>
    <row r="20" spans="1:2" x14ac:dyDescent="0.2">
      <c r="B20" t="s">
        <v>144</v>
      </c>
    </row>
    <row r="21" spans="1:2" x14ac:dyDescent="0.2">
      <c r="B21" t="s">
        <v>142</v>
      </c>
    </row>
    <row r="22" spans="1:2" x14ac:dyDescent="0.2">
      <c r="A22">
        <v>1.23</v>
      </c>
      <c r="B22" t="s">
        <v>145</v>
      </c>
    </row>
    <row r="23" spans="1:2" x14ac:dyDescent="0.2">
      <c r="B23" t="s">
        <v>155</v>
      </c>
    </row>
    <row r="24" spans="1:2" x14ac:dyDescent="0.2">
      <c r="A24">
        <v>1.24</v>
      </c>
      <c r="B24" t="s">
        <v>174</v>
      </c>
    </row>
    <row r="25" spans="1:2" x14ac:dyDescent="0.2">
      <c r="B25" t="s">
        <v>175</v>
      </c>
    </row>
    <row r="26" spans="1:2" x14ac:dyDescent="0.2">
      <c r="B26" t="s">
        <v>80</v>
      </c>
    </row>
    <row r="27" spans="1:2" x14ac:dyDescent="0.2">
      <c r="B27" t="s">
        <v>200</v>
      </c>
    </row>
    <row r="28" spans="1:2" x14ac:dyDescent="0.2">
      <c r="B28" t="s">
        <v>142</v>
      </c>
    </row>
    <row r="29" spans="1:2" x14ac:dyDescent="0.2">
      <c r="A29">
        <v>1.25</v>
      </c>
      <c r="B29" t="s">
        <v>202</v>
      </c>
    </row>
  </sheetData>
  <sheetProtection password="A3CD" sheet="1" objects="1" scenarios="1"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CB9A97338E9B49B9DDF8B93F80F828" ma:contentTypeVersion="4" ma:contentTypeDescription="Create a new document." ma:contentTypeScope="" ma:versionID="d1bb84f4a1569d90974d7405ba8e0195">
  <xsd:schema xmlns:xsd="http://www.w3.org/2001/XMLSchema" xmlns:xs="http://www.w3.org/2001/XMLSchema" xmlns:p="http://schemas.microsoft.com/office/2006/metadata/properties" xmlns:ns2="c25c0ff6-f1d0-42d4-a800-bde6c17a0707" targetNamespace="http://schemas.microsoft.com/office/2006/metadata/properties" ma:root="true" ma:fieldsID="f23c2367081cfeb571af3998e0a533ba" ns2:_="">
    <xsd:import namespace="c25c0ff6-f1d0-42d4-a800-bde6c17a070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c0ff6-f1d0-42d4-a800-bde6c17a070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E849E6-888B-436D-84B4-2D7ED4180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c0ff6-f1d0-42d4-a800-bde6c17a07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0CCDAD-5EE6-49D3-8100-D59C6D7B653A}">
  <ds:schemaRefs>
    <ds:schemaRef ds:uri="http://schemas.microsoft.com/sharepoint/v3/contenttype/forms"/>
  </ds:schemaRefs>
</ds:datastoreItem>
</file>

<file path=customXml/itemProps3.xml><?xml version="1.0" encoding="utf-8"?>
<ds:datastoreItem xmlns:ds="http://schemas.openxmlformats.org/officeDocument/2006/customXml" ds:itemID="{2BE7C6A3-CC45-404B-80C6-F6AF3F3FF9A2}">
  <ds:schemaRefs>
    <ds:schemaRef ds:uri="c25c0ff6-f1d0-42d4-a800-bde6c17a0707"/>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45</vt:i4>
      </vt:variant>
    </vt:vector>
  </HeadingPairs>
  <TitlesOfParts>
    <vt:vector size="49" baseType="lpstr">
      <vt:lpstr>README</vt:lpstr>
      <vt:lpstr>USER INPUT</vt:lpstr>
      <vt:lpstr>POWER TRANSFER</vt:lpstr>
      <vt:lpstr>Revision History</vt:lpstr>
      <vt:lpstr>CDIV1</vt:lpstr>
      <vt:lpstr>CDIV1_CALC</vt:lpstr>
      <vt:lpstr>CDIV2</vt:lpstr>
      <vt:lpstr>CDIV2_CALC</vt:lpstr>
      <vt:lpstr>CIN</vt:lpstr>
      <vt:lpstr>CLOAD</vt:lpstr>
      <vt:lpstr>CTOTAL</vt:lpstr>
      <vt:lpstr>DUTY_COEFF</vt:lpstr>
      <vt:lpstr>DUTY_SQ_COEFF</vt:lpstr>
      <vt:lpstr>EFFICIENCY</vt:lpstr>
      <vt:lpstr>EFFICIENCY_HI</vt:lpstr>
      <vt:lpstr>EFFICIENCY_LO</vt:lpstr>
      <vt:lpstr>EFFICIENCY_MID</vt:lpstr>
      <vt:lpstr>fEN</vt:lpstr>
      <vt:lpstr>IAUX</vt:lpstr>
      <vt:lpstr>INTERCEPT</vt:lpstr>
      <vt:lpstr>Iq_prim</vt:lpstr>
      <vt:lpstr>Iq_sec</vt:lpstr>
      <vt:lpstr>Istart__two_wire</vt:lpstr>
      <vt:lpstr>ITRIG_MAX</vt:lpstr>
      <vt:lpstr>ITRIG_MIN</vt:lpstr>
      <vt:lpstr>IVDDP__two_wire</vt:lpstr>
      <vt:lpstr>IVDDP_regresson_100percent</vt:lpstr>
      <vt:lpstr>PREQ_AC</vt:lpstr>
      <vt:lpstr>PREQ_DC</vt:lpstr>
      <vt:lpstr>PREQ_TOTAL</vt:lpstr>
      <vt:lpstr>PSELECTED</vt:lpstr>
      <vt:lpstr>QTOTAL</vt:lpstr>
      <vt:lpstr>RLIMIT</vt:lpstr>
      <vt:lpstr>TEMP</vt:lpstr>
      <vt:lpstr>TEMP_COEFF</vt:lpstr>
      <vt:lpstr>TEMP_SQ</vt:lpstr>
      <vt:lpstr>TEMP_SQ_COEFF</vt:lpstr>
      <vt:lpstr>tGT</vt:lpstr>
      <vt:lpstr>TOFF</vt:lpstr>
      <vt:lpstr>VDDH</vt:lpstr>
      <vt:lpstr>VDDHdroop_A</vt:lpstr>
      <vt:lpstr>VDDHdroop_B</vt:lpstr>
      <vt:lpstr>VDDM</vt:lpstr>
      <vt:lpstr>VDDP</vt:lpstr>
      <vt:lpstr>VDDP_AVG</vt:lpstr>
      <vt:lpstr>VDDP_COEFF</vt:lpstr>
      <vt:lpstr>VDDP_SQ</vt:lpstr>
      <vt:lpstr>VDDP_SQ_COEFF</vt:lpstr>
      <vt:lpstr>VTP</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Greenberg, Craig</dc:creator>
  <cp:lastModifiedBy>CBG</cp:lastModifiedBy>
  <cp:lastPrinted>2022-03-25T13:47:49Z</cp:lastPrinted>
  <dcterms:created xsi:type="dcterms:W3CDTF">2020-03-30T14:11:54Z</dcterms:created>
  <dcterms:modified xsi:type="dcterms:W3CDTF">2025-03-21T16:27:17Z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0x01010032CB9A97338E9B49B9DDF8B93F80F828</vt:lpwstr>
  </property>
</Properties>
</file>