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ink/ink1.xml" ContentType="application/inkml+xml"/>
  <Override PartName="/xl/ink/ink2.xml" ContentType="application/inkml+xml"/>
  <Override PartName="/xl/ink/ink3.xml" ContentType="application/inkml+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filterPrivacy="1" codeName="ThisWorkbook" defaultThemeVersion="124226"/>
  <xr:revisionPtr revIDLastSave="0" documentId="8_{0B4C0007-A8A4-4155-9ED0-09BB6C8E17AF}" xr6:coauthVersionLast="36" xr6:coauthVersionMax="36" xr10:uidLastSave="{00000000-0000-0000-0000-000000000000}"/>
  <workbookProtection workbookAlgorithmName="SHA-512" workbookHashValue="4J73zqlYGqeauwDCDbx2IdbtzQ/g2Mw8GRp5hmoVbMVg6rZYXJWx7US/kJOrF2mkLb9yk3Niio2s8fRWk+BQBA==" workbookSaltValue="89RwTGTaL6/fz8Cf5r8xKg==" workbookSpinCount="100000" lockStructure="1"/>
  <bookViews>
    <workbookView xWindow="0" yWindow="0" windowWidth="19200" windowHeight="6518" tabRatio="552" xr2:uid="{00000000-000D-0000-FFFF-FFFF00000000}"/>
  </bookViews>
  <sheets>
    <sheet name="Table of Contents" sheetId="14" r:id="rId1"/>
    <sheet name="Help" sheetId="16" r:id="rId2"/>
    <sheet name="Directions" sheetId="25" r:id="rId3"/>
    <sheet name="Current Sensing Calculator" sheetId="22" r:id="rId4"/>
    <sheet name="Device Comparison" sheetId="21" r:id="rId5"/>
    <sheet name="License" sheetId="23" r:id="rId6"/>
  </sheets>
  <externalReferences>
    <externalReference r:id="rId7"/>
    <externalReference r:id="rId8"/>
    <externalReference r:id="rId9"/>
  </externalReferences>
  <definedNames>
    <definedName name="Config_DifSE" localSheetId="2">#REF!</definedName>
    <definedName name="Config_DifSE">#REF!</definedName>
    <definedName name="Configs" localSheetId="2">Config[Configuration]</definedName>
    <definedName name="Configs">Config[Configuration]</definedName>
    <definedName name="DECIMATION_RATIO">[1]Calculator!$R$82</definedName>
    <definedName name="Device_List" localSheetId="2">Devices[Part]</definedName>
    <definedName name="Device_List">Devices[Part]</definedName>
    <definedName name="Device_List_D" localSheetId="2">INDEX(Devices[], 1, COLUMN(#REF!)) : INDEX(Devices[], COUNTA(#REF!)-COUNTBLANK(#REF!), COLUMN(#REF!))</definedName>
    <definedName name="Device_List_D">INDEX(Devices[], 1, COLUMN(#REF!)) : INDEX(Devices[], COUNTA(#REF!)-COUNTBLANK(#REF!), COLUMN(#REF!))</definedName>
    <definedName name="Device_List_N" localSheetId="2">INDEX(Devices[], 1, COLUMN(#REF!)) : INDEX(Devices[], COUNTA(#REF!)-COUNTBLANK(#REF!), COLUMN(#REF!))</definedName>
    <definedName name="Device_List_N">INDEX(Devices[], 1, COLUMN(#REF!)) : INDEX(Devices[], COUNTA(#REF!)-COUNTBLANK(#REF!), COLUMN(#REF!))</definedName>
    <definedName name="Device_List_SE" localSheetId="2">INDEX(Devices[], 1, COLUMN(#REF!)) : INDEX(Devices[], COUNTA(#REF!)-COUNTBLANK(#REF!), COLUMN(#REF!))</definedName>
    <definedName name="Device_List_SE">INDEX(Devices[], 1, COLUMN(#REF!)) : INDEX(Devices[], COUNTA(#REF!)-COUNTBLANK(#REF!), COLUMN(#REF!))</definedName>
    <definedName name="Differential">'Device Comparison'!#REF!</definedName>
    <definedName name="FILTER_ORDER">[1]Calculator!$R$83</definedName>
    <definedName name="FIR_BYPASSED" localSheetId="5">'[2]Digital Filter'!$T$84</definedName>
    <definedName name="FIR_BYPASSED">'[3]Digital Filter'!$T$84</definedName>
    <definedName name="FS_IN">[1]Calculator!$Q$101</definedName>
    <definedName name="FS_OUT">[1]Calculator!$T$101</definedName>
    <definedName name="GAIN">[1]Calculator!$R$91</definedName>
    <definedName name="GAIN2">[1]Calculator!$R$93</definedName>
    <definedName name="GAIN3">[1]Calculator!$R$94</definedName>
    <definedName name="inputType" localSheetId="2">Inputs[Input Type]</definedName>
    <definedName name="inputType">Inputs[Input Type]</definedName>
    <definedName name="InputTypeColumn" localSheetId="2">Devices[Input Type]</definedName>
    <definedName name="InputTypeColumn">Devices[Input Type]</definedName>
    <definedName name="M">[1]Calculator!$R$81</definedName>
    <definedName name="MOD_FREQ">[1]Calculator!$D$8</definedName>
    <definedName name="NORMALIZE">[1]Calculator!$R$92</definedName>
    <definedName name="OSR">[1]Calculator!$D$9</definedName>
    <definedName name="P_DECIMATION_RATIO">[1]Calculator!$U$82</definedName>
    <definedName name="P_FS_OUT">[1]Calculator!$BK$101</definedName>
    <definedName name="P_GAIN">[1]Calculator!$U$91</definedName>
    <definedName name="P_GAIN2">[1]Calculator!$U$93</definedName>
    <definedName name="P_GAIN3">[1]Calculator!$U$94</definedName>
    <definedName name="P_OSR">[1]Calculator!$D$11</definedName>
    <definedName name="Picture">INDIRECT('Current Sensing Calculator'!$B$6)</definedName>
    <definedName name="Picture_DifSE">INDIRECT('Current Sensing Calculator'!$B$48)</definedName>
    <definedName name="Select_Configuration">'Device Comparison'!$CD$280</definedName>
    <definedName name="selectConfig">'Device Comparison'!$CB$280</definedName>
    <definedName name="Show_DSE" localSheetId="2">INDEX(Image2, MATCH('Current Sensing Calculator'!J1048536, Directions!Configs, 0))</definedName>
    <definedName name="Show_DSE">INDEX(Image2, MATCH('Current Sensing Calculator'!J1048536, Configs, 0))</definedName>
    <definedName name="single">'Device Comparison'!$CB$282</definedName>
    <definedName name="Single_Ended">'Device Comparison'!$CD$282</definedName>
    <definedName name="Temp_Range">IF((25-'Current Sensing Calculator'!$K$11)&gt;('Current Sensing Calculator'!$K$12-25),(25-'Current Sensing Calculator'!$K$11),('Current Sensing Calculator'!$K$12-25))</definedName>
    <definedName name="withoutR3">'Device Comparison'!$CB$281</definedName>
    <definedName name="withR3" localSheetId="2">'Device Comparison'!#REF!</definedName>
    <definedName name="withR3">'Device Comparison'!#REF!</definedName>
  </definedNames>
  <calcPr calcId="191029"/>
</workbook>
</file>

<file path=xl/calcChain.xml><?xml version="1.0" encoding="utf-8"?>
<calcChain xmlns="http://schemas.openxmlformats.org/spreadsheetml/2006/main">
  <c r="G32" i="22" l="1"/>
  <c r="P7" i="22" l="1"/>
  <c r="Y8" i="21"/>
  <c r="Z8" i="21"/>
  <c r="AA8" i="21"/>
  <c r="AB8" i="21"/>
  <c r="Y9" i="21"/>
  <c r="Z9" i="21"/>
  <c r="AA9" i="21"/>
  <c r="AB9" i="21"/>
  <c r="Y62" i="21"/>
  <c r="Z62" i="21"/>
  <c r="AA62" i="21"/>
  <c r="AB62" i="21"/>
  <c r="Y90" i="21"/>
  <c r="AB90" i="21" s="1"/>
  <c r="Y91" i="21"/>
  <c r="AB91" i="21" s="1"/>
  <c r="Y92" i="21"/>
  <c r="Z92" i="21" s="1"/>
  <c r="Y93" i="21"/>
  <c r="Z93" i="21" s="1"/>
  <c r="Y94" i="21"/>
  <c r="AB94" i="21" s="1"/>
  <c r="Y95" i="21"/>
  <c r="Z95" i="21" s="1"/>
  <c r="Y96" i="21"/>
  <c r="Z96" i="21" s="1"/>
  <c r="Y97" i="21"/>
  <c r="Z97" i="21" s="1"/>
  <c r="Y98" i="21"/>
  <c r="Z98" i="21" s="1"/>
  <c r="Y99" i="21"/>
  <c r="Z99" i="21" s="1"/>
  <c r="Y100" i="21"/>
  <c r="Z100" i="21" s="1"/>
  <c r="Y101" i="21"/>
  <c r="Z101" i="21" s="1"/>
  <c r="Y102" i="21"/>
  <c r="AA102" i="21" s="1"/>
  <c r="Y103" i="21"/>
  <c r="Z103" i="21" s="1"/>
  <c r="Y104" i="21"/>
  <c r="Z104" i="21" s="1"/>
  <c r="Y105" i="21"/>
  <c r="Z105" i="21" s="1"/>
  <c r="AA100" i="21"/>
  <c r="AA101" i="21"/>
  <c r="Y34" i="21"/>
  <c r="Z34" i="21" s="1"/>
  <c r="Y35" i="21"/>
  <c r="Z35" i="21" s="1"/>
  <c r="Y60" i="21"/>
  <c r="Z60" i="21" s="1"/>
  <c r="Y61" i="21"/>
  <c r="Z61" i="21" s="1"/>
  <c r="Y28" i="21"/>
  <c r="AA28" i="21" s="1"/>
  <c r="Y29" i="21"/>
  <c r="Z29" i="21" s="1"/>
  <c r="Y54" i="21"/>
  <c r="AB54" i="21" s="1"/>
  <c r="Y55" i="21"/>
  <c r="AB55" i="21" s="1"/>
  <c r="Y18" i="21"/>
  <c r="Y20" i="21"/>
  <c r="Y44" i="21"/>
  <c r="Y46" i="21"/>
  <c r="Y19" i="21"/>
  <c r="Y21" i="21"/>
  <c r="Y45" i="21"/>
  <c r="AA45" i="21" s="1"/>
  <c r="Y47" i="21"/>
  <c r="Y16" i="21"/>
  <c r="Z16" i="21" s="1"/>
  <c r="Y17" i="21"/>
  <c r="Z17" i="21" s="1"/>
  <c r="Y42" i="21"/>
  <c r="AB42" i="21" s="1"/>
  <c r="Y43" i="21"/>
  <c r="AB43" i="21" s="1"/>
  <c r="AA34" i="21"/>
  <c r="AA35" i="21"/>
  <c r="AA60" i="21"/>
  <c r="AA61" i="21"/>
  <c r="AA29" i="21"/>
  <c r="AB28" i="21"/>
  <c r="AB29" i="21"/>
  <c r="Y30" i="21"/>
  <c r="Z30" i="21" s="1"/>
  <c r="Y32" i="21"/>
  <c r="AA32" i="21" s="1"/>
  <c r="Y56" i="21"/>
  <c r="AA56" i="21" s="1"/>
  <c r="Y58" i="21"/>
  <c r="Z58" i="21" s="1"/>
  <c r="Y31" i="21"/>
  <c r="AA31" i="21" s="1"/>
  <c r="Y33" i="21"/>
  <c r="AA33" i="21" s="1"/>
  <c r="Y57" i="21"/>
  <c r="Z57" i="21" s="1"/>
  <c r="Y59" i="21"/>
  <c r="Z59" i="21" s="1"/>
  <c r="Y12" i="21"/>
  <c r="AA12" i="21" s="1"/>
  <c r="Y14" i="21"/>
  <c r="AA14" i="21" s="1"/>
  <c r="AA30" i="21"/>
  <c r="AA58" i="21"/>
  <c r="AB30" i="21"/>
  <c r="AB32" i="21"/>
  <c r="AB56" i="21"/>
  <c r="AB58" i="21"/>
  <c r="AB31" i="21"/>
  <c r="AB33" i="21"/>
  <c r="AB57" i="21"/>
  <c r="AB59" i="21"/>
  <c r="AB12" i="21"/>
  <c r="AB14" i="21"/>
  <c r="W24" i="21"/>
  <c r="Y38" i="21"/>
  <c r="AA38" i="21" s="1"/>
  <c r="Y40" i="21"/>
  <c r="AB40" i="21" s="1"/>
  <c r="Y13" i="21"/>
  <c r="Z13" i="21" s="1"/>
  <c r="Y15" i="21"/>
  <c r="AA15" i="21" s="1"/>
  <c r="Y39" i="21"/>
  <c r="Z39" i="21" s="1"/>
  <c r="Y41" i="21"/>
  <c r="AA41" i="21" s="1"/>
  <c r="Y10" i="21"/>
  <c r="AA10" i="21" s="1"/>
  <c r="Y11" i="21"/>
  <c r="AA11" i="21" s="1"/>
  <c r="AB15" i="21"/>
  <c r="AB39" i="21"/>
  <c r="AB41" i="21"/>
  <c r="AB10" i="21"/>
  <c r="AB11" i="21"/>
  <c r="Y36" i="21"/>
  <c r="AA36" i="21" s="1"/>
  <c r="Y37" i="21"/>
  <c r="AA37" i="21" s="1"/>
  <c r="Y22" i="21"/>
  <c r="AA22" i="21" s="1"/>
  <c r="Y23" i="21"/>
  <c r="AA23" i="21" s="1"/>
  <c r="Z22" i="21"/>
  <c r="Z23" i="21"/>
  <c r="Y24" i="21"/>
  <c r="Z24" i="21"/>
  <c r="AA24" i="21"/>
  <c r="AB24" i="21"/>
  <c r="Y25" i="21"/>
  <c r="AA25" i="21" s="1"/>
  <c r="Z25" i="21"/>
  <c r="AB25" i="21"/>
  <c r="Y26" i="21"/>
  <c r="Z26" i="21"/>
  <c r="AA26" i="21"/>
  <c r="AB26" i="21"/>
  <c r="Y27" i="21"/>
  <c r="AA27" i="21" s="1"/>
  <c r="Z27" i="21"/>
  <c r="AA99" i="21" l="1"/>
  <c r="AA98" i="21"/>
  <c r="Z56" i="21"/>
  <c r="Z32" i="21"/>
  <c r="Z31" i="21"/>
  <c r="AA96" i="21"/>
  <c r="AA94" i="21"/>
  <c r="AA91" i="21"/>
  <c r="AA90" i="21"/>
  <c r="Z91" i="21"/>
  <c r="AB92" i="21"/>
  <c r="Z90" i="21"/>
  <c r="AA104" i="21"/>
  <c r="AA97" i="21"/>
  <c r="AA95" i="21"/>
  <c r="AA93" i="21"/>
  <c r="AA92" i="21"/>
  <c r="Z14" i="21"/>
  <c r="AA103" i="21"/>
  <c r="AB105" i="21"/>
  <c r="AB104" i="21"/>
  <c r="AB103" i="21"/>
  <c r="AB101" i="21"/>
  <c r="AB100" i="21"/>
  <c r="AB96" i="21"/>
  <c r="AB95" i="21"/>
  <c r="AB93" i="21"/>
  <c r="Z94" i="21"/>
  <c r="AB102" i="21"/>
  <c r="AB99" i="21"/>
  <c r="AB98" i="21"/>
  <c r="Z37" i="21"/>
  <c r="AA105" i="21"/>
  <c r="AB61" i="21"/>
  <c r="Z12" i="21"/>
  <c r="AB60" i="21"/>
  <c r="AB35" i="21"/>
  <c r="AB34" i="21"/>
  <c r="Z33" i="21"/>
  <c r="AA54" i="21"/>
  <c r="AB97" i="21"/>
  <c r="Z102" i="21"/>
  <c r="Z54" i="21"/>
  <c r="Z28" i="21"/>
  <c r="Z42" i="21"/>
  <c r="AA21" i="21"/>
  <c r="AB19" i="21"/>
  <c r="AA44" i="21"/>
  <c r="Z18" i="21"/>
  <c r="AB16" i="21"/>
  <c r="AB21" i="21"/>
  <c r="AB46" i="21"/>
  <c r="AA20" i="21"/>
  <c r="Z55" i="21"/>
  <c r="Z47" i="21"/>
  <c r="AA16" i="21"/>
  <c r="AB17" i="21"/>
  <c r="Z44" i="21"/>
  <c r="AA46" i="21"/>
  <c r="Z20" i="21"/>
  <c r="AB38" i="21"/>
  <c r="Z38" i="21"/>
  <c r="AB44" i="21"/>
  <c r="AA18" i="21"/>
  <c r="AA42" i="21"/>
  <c r="AA17" i="21"/>
  <c r="Z46" i="21"/>
  <c r="Z45" i="21"/>
  <c r="Z21" i="21"/>
  <c r="AB47" i="21"/>
  <c r="AB18" i="21"/>
  <c r="Z43" i="21"/>
  <c r="AA43" i="21"/>
  <c r="AA47" i="21"/>
  <c r="Z19" i="21"/>
  <c r="AB45" i="21"/>
  <c r="AB20" i="21"/>
  <c r="AA55" i="21"/>
  <c r="AA19" i="21"/>
  <c r="AA40" i="21"/>
  <c r="AA39" i="21"/>
  <c r="Z10" i="21"/>
  <c r="AA59" i="21"/>
  <c r="Z11" i="21"/>
  <c r="Z41" i="21"/>
  <c r="AA57" i="21"/>
  <c r="Z15" i="21"/>
  <c r="AB13" i="21"/>
  <c r="AA13" i="21"/>
  <c r="Z36" i="21"/>
  <c r="Z40" i="21"/>
  <c r="AB37" i="21"/>
  <c r="AB36" i="21"/>
  <c r="AB23" i="21"/>
  <c r="AB22" i="21"/>
  <c r="AB27" i="21"/>
  <c r="J63" i="22"/>
  <c r="J61" i="22"/>
  <c r="J59" i="22"/>
  <c r="J57" i="22"/>
  <c r="J55" i="22"/>
  <c r="J53" i="22"/>
  <c r="J46" i="22"/>
  <c r="W50" i="21" l="1"/>
  <c r="E34" i="22"/>
  <c r="Y51" i="21"/>
  <c r="AA51" i="21" s="1"/>
  <c r="Z51" i="21"/>
  <c r="AB51" i="21"/>
  <c r="Y50" i="21"/>
  <c r="Z50" i="21" s="1"/>
  <c r="AB50" i="21"/>
  <c r="Y52" i="21"/>
  <c r="Z52" i="21" s="1"/>
  <c r="Y53" i="21"/>
  <c r="AB53" i="21" s="1"/>
  <c r="Z53" i="21"/>
  <c r="Y49" i="21"/>
  <c r="AA49" i="21" s="1"/>
  <c r="Z49" i="21"/>
  <c r="Y48" i="21"/>
  <c r="AA48" i="21" s="1"/>
  <c r="Z48" i="21"/>
  <c r="AA53" i="21" l="1"/>
  <c r="AA50" i="21"/>
  <c r="AA52" i="21"/>
  <c r="AB52" i="21"/>
  <c r="AB49" i="21"/>
  <c r="AB48" i="21"/>
  <c r="E74" i="22"/>
  <c r="E72" i="22"/>
  <c r="L49" i="22"/>
  <c r="L51" i="22"/>
  <c r="AZ60" i="22"/>
  <c r="BA60" i="22" s="1"/>
  <c r="BB60" i="22" s="1"/>
  <c r="BC60" i="22"/>
  <c r="BD60" i="22" s="1"/>
  <c r="BE60" i="22" s="1"/>
  <c r="BF60" i="22" s="1"/>
  <c r="BG60" i="22" s="1"/>
  <c r="BH60" i="22" s="1"/>
  <c r="AZ59" i="22"/>
  <c r="BA59" i="22" s="1"/>
  <c r="BB59" i="22" s="1"/>
  <c r="BC59" i="22"/>
  <c r="BD59" i="22" s="1"/>
  <c r="BE59" i="22" s="1"/>
  <c r="BF59" i="22" s="1"/>
  <c r="BG59" i="22" s="1"/>
  <c r="BH59" i="22" s="1"/>
  <c r="H71" i="22" l="1"/>
  <c r="N20" i="22" l="1"/>
  <c r="N21" i="22"/>
  <c r="N19" i="22" l="1"/>
  <c r="AZ63" i="22" l="1"/>
  <c r="BA63" i="22" s="1"/>
  <c r="BB63" i="22" s="1"/>
  <c r="BC63" i="22"/>
  <c r="BD63" i="22" s="1"/>
  <c r="BE63" i="22" s="1"/>
  <c r="BF63" i="22" s="1"/>
  <c r="BG63" i="22" s="1"/>
  <c r="BH63" i="22" s="1"/>
  <c r="K15" i="22" l="1"/>
  <c r="G15" i="22"/>
  <c r="AZ65" i="22" l="1"/>
  <c r="BA65" i="22" s="1"/>
  <c r="BB65" i="22" s="1"/>
  <c r="BC65" i="22"/>
  <c r="BD65" i="22" s="1"/>
  <c r="BE65" i="22" s="1"/>
  <c r="BF65" i="22" s="1"/>
  <c r="BG65" i="22" s="1"/>
  <c r="BH65" i="22" s="1"/>
  <c r="B66" i="22"/>
  <c r="AZ27" i="22"/>
  <c r="BA27" i="22" s="1"/>
  <c r="BB27" i="22" s="1"/>
  <c r="BC27" i="22" s="1"/>
  <c r="BD27" i="22"/>
  <c r="BE27" i="22" s="1"/>
  <c r="BF27" i="22" s="1"/>
  <c r="BG27" i="22" s="1"/>
  <c r="BH27" i="22" s="1"/>
  <c r="AP28" i="22"/>
  <c r="AP27" i="22" s="1"/>
  <c r="AZ28" i="22"/>
  <c r="BA28" i="22" s="1"/>
  <c r="BB28" i="22" s="1"/>
  <c r="BC28" i="22" s="1"/>
  <c r="BD28" i="22"/>
  <c r="BE28" i="22" s="1"/>
  <c r="BF28" i="22" s="1"/>
  <c r="BG28" i="22" s="1"/>
  <c r="BH28" i="22" s="1"/>
  <c r="AZ47" i="22" l="1"/>
  <c r="BA47" i="22" s="1"/>
  <c r="BB47" i="22" s="1"/>
  <c r="BC47" i="22"/>
  <c r="BD47" i="22" s="1"/>
  <c r="BE47" i="22" s="1"/>
  <c r="BF47" i="22" s="1"/>
  <c r="BG47" i="22" s="1"/>
  <c r="BH47" i="22" s="1"/>
  <c r="AZ61" i="22"/>
  <c r="BA61" i="22" s="1"/>
  <c r="BB61" i="22" s="1"/>
  <c r="BC61" i="22"/>
  <c r="BD61" i="22" s="1"/>
  <c r="BE61" i="22" s="1"/>
  <c r="BF61" i="22" s="1"/>
  <c r="BG61" i="22" s="1"/>
  <c r="BH61" i="22" s="1"/>
  <c r="AZ62" i="22"/>
  <c r="BA62" i="22" s="1"/>
  <c r="BB62" i="22" s="1"/>
  <c r="BC62" i="22"/>
  <c r="BD62" i="22" s="1"/>
  <c r="BE62" i="22" s="1"/>
  <c r="BF62" i="22" s="1"/>
  <c r="BG62" i="22" s="1"/>
  <c r="BH62" i="22" s="1"/>
  <c r="AZ57" i="22"/>
  <c r="BA57" i="22" s="1"/>
  <c r="BB57" i="22" s="1"/>
  <c r="BC57" i="22"/>
  <c r="BD57" i="22" s="1"/>
  <c r="BE57" i="22" s="1"/>
  <c r="BF57" i="22" s="1"/>
  <c r="BG57" i="22" s="1"/>
  <c r="BH57" i="22" s="1"/>
  <c r="AZ58" i="22"/>
  <c r="BA58" i="22" s="1"/>
  <c r="BB58" i="22" s="1"/>
  <c r="BC58" i="22"/>
  <c r="BD58" i="22" s="1"/>
  <c r="BE58" i="22" s="1"/>
  <c r="BF58" i="22" s="1"/>
  <c r="BG58" i="22" s="1"/>
  <c r="BH58" i="22" s="1"/>
  <c r="AZ56" i="22"/>
  <c r="BA56" i="22" s="1"/>
  <c r="BB56" i="22" s="1"/>
  <c r="BC56" i="22"/>
  <c r="BD56" i="22" s="1"/>
  <c r="BE56" i="22" s="1"/>
  <c r="BF56" i="22" s="1"/>
  <c r="BG56" i="22" s="1"/>
  <c r="BH56" i="22" s="1"/>
  <c r="B78" i="22" l="1"/>
  <c r="B30" i="22"/>
  <c r="AZ49" i="22"/>
  <c r="BA49" i="22" s="1"/>
  <c r="BB49" i="22" s="1"/>
  <c r="BC49" i="22"/>
  <c r="BD49" i="22" s="1"/>
  <c r="BE49" i="22" s="1"/>
  <c r="BF49" i="22" s="1"/>
  <c r="BG49" i="22" s="1"/>
  <c r="BH49" i="22" s="1"/>
  <c r="AZ51" i="22"/>
  <c r="BA51" i="22" s="1"/>
  <c r="BB51" i="22" s="1"/>
  <c r="BC51" i="22"/>
  <c r="BD51" i="22" s="1"/>
  <c r="BE51" i="22" s="1"/>
  <c r="BF51" i="22" s="1"/>
  <c r="BG51" i="22" s="1"/>
  <c r="BH51" i="22" s="1"/>
  <c r="AZ54" i="22"/>
  <c r="BA54" i="22" s="1"/>
  <c r="BB54" i="22" s="1"/>
  <c r="BC54" i="22"/>
  <c r="BD54" i="22" s="1"/>
  <c r="BE54" i="22" s="1"/>
  <c r="BF54" i="22" s="1"/>
  <c r="BG54" i="22" s="1"/>
  <c r="BH54" i="22" s="1"/>
  <c r="AZ52" i="22"/>
  <c r="BA52" i="22" s="1"/>
  <c r="BB52" i="22" s="1"/>
  <c r="BC52" i="22"/>
  <c r="BD52" i="22" s="1"/>
  <c r="BE52" i="22" s="1"/>
  <c r="BF52" i="22" s="1"/>
  <c r="BG52" i="22" s="1"/>
  <c r="BH52" i="22" s="1"/>
  <c r="AZ48" i="22"/>
  <c r="BA48" i="22" s="1"/>
  <c r="BB48" i="22" s="1"/>
  <c r="BC48" i="22"/>
  <c r="BD48" i="22" s="1"/>
  <c r="BE48" i="22" s="1"/>
  <c r="BF48" i="22" s="1"/>
  <c r="BG48" i="22" s="1"/>
  <c r="BH48" i="22" s="1"/>
  <c r="AZ50" i="22"/>
  <c r="BA50" i="22" s="1"/>
  <c r="BB50" i="22" s="1"/>
  <c r="BC50" i="22"/>
  <c r="BD50" i="22" s="1"/>
  <c r="BE50" i="22" s="1"/>
  <c r="BF50" i="22" s="1"/>
  <c r="BG50" i="22" s="1"/>
  <c r="BH50" i="22" s="1"/>
  <c r="AZ46" i="22"/>
  <c r="BA46" i="22" s="1"/>
  <c r="BB46" i="22" s="1"/>
  <c r="BC46" i="22"/>
  <c r="BD46" i="22" s="1"/>
  <c r="BE46" i="22" s="1"/>
  <c r="BF46" i="22" s="1"/>
  <c r="BG46" i="22" s="1"/>
  <c r="BH46" i="22" s="1"/>
  <c r="AZ53" i="22"/>
  <c r="BA53" i="22" s="1"/>
  <c r="BB53" i="22" s="1"/>
  <c r="BC53" i="22"/>
  <c r="BD53" i="22" s="1"/>
  <c r="BE53" i="22" s="1"/>
  <c r="BF53" i="22" s="1"/>
  <c r="BG53" i="22" s="1"/>
  <c r="BH53" i="22" s="1"/>
  <c r="AZ55" i="22"/>
  <c r="BA55" i="22" s="1"/>
  <c r="BB55" i="22" s="1"/>
  <c r="BC55" i="22"/>
  <c r="BD55" i="22" s="1"/>
  <c r="BE55" i="22" s="1"/>
  <c r="BF55" i="22" s="1"/>
  <c r="BG55" i="22" s="1"/>
  <c r="BH55" i="22" s="1"/>
  <c r="AZ64" i="22"/>
  <c r="BA64" i="22" s="1"/>
  <c r="BB64" i="22" s="1"/>
  <c r="BC64" i="22"/>
  <c r="BD64" i="22" s="1"/>
  <c r="BE64" i="22" s="1"/>
  <c r="BF64" i="22" s="1"/>
  <c r="BG64" i="22" s="1"/>
  <c r="BH64" i="22" s="1"/>
  <c r="AZ68" i="22"/>
  <c r="BA68" i="22" s="1"/>
  <c r="BB68" i="22" s="1"/>
  <c r="BC68" i="22"/>
  <c r="BD68" i="22" s="1"/>
  <c r="BE68" i="22" s="1"/>
  <c r="BF68" i="22" s="1"/>
  <c r="BG68" i="22" s="1"/>
  <c r="BH68" i="22" s="1"/>
  <c r="B23" i="22" l="1"/>
  <c r="B22" i="22"/>
  <c r="Y81" i="21" l="1"/>
  <c r="AA81" i="21" s="1"/>
  <c r="Z81" i="21"/>
  <c r="Y79" i="21"/>
  <c r="Z79" i="21" s="1"/>
  <c r="Y75" i="21"/>
  <c r="AA75" i="21" s="1"/>
  <c r="Z75" i="21"/>
  <c r="AB75" i="21"/>
  <c r="Y77" i="21"/>
  <c r="AA77" i="21" s="1"/>
  <c r="Z77" i="21"/>
  <c r="AB77" i="21"/>
  <c r="Y74" i="21"/>
  <c r="AA74" i="21" s="1"/>
  <c r="AB74" i="21"/>
  <c r="Y76" i="21"/>
  <c r="AA76" i="21" s="1"/>
  <c r="Z76" i="21"/>
  <c r="Y64" i="21"/>
  <c r="AA64" i="21" s="1"/>
  <c r="Z64" i="21"/>
  <c r="Y80" i="21"/>
  <c r="AA80" i="21" s="1"/>
  <c r="Y68" i="21"/>
  <c r="Z68" i="21" s="1"/>
  <c r="AA68" i="21"/>
  <c r="AB68" i="21"/>
  <c r="AB81" i="21" l="1"/>
  <c r="AB79" i="21"/>
  <c r="AA79" i="21"/>
  <c r="Z74" i="21"/>
  <c r="AB76" i="21"/>
  <c r="AB64" i="21"/>
  <c r="AB80" i="21"/>
  <c r="Z80" i="21"/>
  <c r="K22" i="22" l="1"/>
  <c r="K21" i="22" l="1"/>
  <c r="K24" i="22" l="1"/>
  <c r="K23" i="22" l="1"/>
  <c r="G34" i="22" l="1"/>
  <c r="B6" i="22" l="1"/>
  <c r="G24" i="22" l="1"/>
  <c r="AS19" i="22" l="1"/>
  <c r="AS21" i="22" s="1"/>
  <c r="AS22" i="22" s="1"/>
  <c r="AS23" i="22" s="1"/>
  <c r="Y78" i="21" l="1"/>
  <c r="Z78" i="21" s="1"/>
  <c r="AA78" i="21"/>
  <c r="AB78" i="21"/>
  <c r="Y88" i="21"/>
  <c r="AA88" i="21" s="1"/>
  <c r="Z88" i="21"/>
  <c r="AB88" i="21"/>
  <c r="Y63" i="21"/>
  <c r="Z63" i="21" s="1"/>
  <c r="AA63" i="21"/>
  <c r="AB63" i="21"/>
  <c r="Y85" i="21"/>
  <c r="AB85" i="21" s="1"/>
  <c r="Y86" i="21"/>
  <c r="Z86" i="21" s="1"/>
  <c r="Z85" i="21" l="1"/>
  <c r="AA85" i="21"/>
  <c r="AB86" i="21"/>
  <c r="AA86" i="21"/>
  <c r="K16" i="22"/>
  <c r="Y67" i="21" l="1"/>
  <c r="AB67" i="21" s="1"/>
  <c r="AA67" i="21"/>
  <c r="Y84" i="21"/>
  <c r="AB84" i="21" s="1"/>
  <c r="AA84" i="21"/>
  <c r="Y87" i="21"/>
  <c r="Z87" i="21" s="1"/>
  <c r="AA87" i="21"/>
  <c r="AB87" i="21"/>
  <c r="Y83" i="21"/>
  <c r="AA83" i="21" s="1"/>
  <c r="Z67" i="21" l="1"/>
  <c r="Z84" i="21"/>
  <c r="AB83" i="21"/>
  <c r="Z83" i="21"/>
  <c r="BD8" i="22"/>
  <c r="BD9" i="22"/>
  <c r="BD10" i="22"/>
  <c r="BD11" i="22"/>
  <c r="BD12" i="22"/>
  <c r="BD13" i="22"/>
  <c r="BD14" i="22"/>
  <c r="BD15" i="22"/>
  <c r="BD16" i="22"/>
  <c r="BD17" i="22"/>
  <c r="BD18" i="22"/>
  <c r="BD19" i="22"/>
  <c r="BD20" i="22"/>
  <c r="BD21" i="22"/>
  <c r="BD22" i="22"/>
  <c r="BD23" i="22"/>
  <c r="BD24" i="22"/>
  <c r="BD25" i="22"/>
  <c r="BD26" i="22"/>
  <c r="BD29" i="22"/>
  <c r="BD30" i="22"/>
  <c r="BD31" i="22"/>
  <c r="BD32" i="22"/>
  <c r="BD33" i="22"/>
  <c r="BD34" i="22"/>
  <c r="BD35" i="22"/>
  <c r="BD36" i="22"/>
  <c r="BD37" i="22"/>
  <c r="BD38" i="22"/>
  <c r="BD39" i="22"/>
  <c r="BD40" i="22"/>
  <c r="BD41" i="22"/>
  <c r="BD42" i="22"/>
  <c r="BD43" i="22"/>
  <c r="BD44" i="22"/>
  <c r="BD45" i="22"/>
  <c r="BD66" i="22"/>
  <c r="BD67" i="22"/>
  <c r="BD69" i="22"/>
  <c r="BD70" i="22"/>
  <c r="BD71" i="22"/>
  <c r="BD72" i="22"/>
  <c r="BD73" i="22"/>
  <c r="BD74" i="22"/>
  <c r="BD75" i="22"/>
  <c r="BD76" i="22"/>
  <c r="BD77" i="22"/>
  <c r="BD78" i="22"/>
  <c r="BD79" i="22"/>
  <c r="BD80" i="22"/>
  <c r="BD81" i="22"/>
  <c r="BD82" i="22"/>
  <c r="BD83" i="22"/>
  <c r="BD84" i="22"/>
  <c r="BD85" i="22"/>
  <c r="BD86" i="22"/>
  <c r="BD87" i="22"/>
  <c r="BD88" i="22"/>
  <c r="BD89" i="22"/>
  <c r="BD90" i="22"/>
  <c r="BD91" i="22"/>
  <c r="BD92" i="22"/>
  <c r="BD93" i="22"/>
  <c r="BD94" i="22"/>
  <c r="BD95" i="22"/>
  <c r="BD96" i="22"/>
  <c r="BD97" i="22"/>
  <c r="BD98" i="22"/>
  <c r="BD99" i="22"/>
  <c r="BD100" i="22"/>
  <c r="BD101" i="22"/>
  <c r="BD102" i="22"/>
  <c r="BD103" i="22"/>
  <c r="BD104" i="22"/>
  <c r="BD105" i="22"/>
  <c r="BD106" i="22"/>
  <c r="BD107" i="22"/>
  <c r="BD108" i="22"/>
  <c r="BD109" i="22"/>
  <c r="BD110" i="22"/>
  <c r="BD111" i="22"/>
  <c r="BD112" i="22"/>
  <c r="BD113" i="22"/>
  <c r="BD114" i="22"/>
  <c r="BD115" i="22"/>
  <c r="BD116" i="22"/>
  <c r="BD117" i="22"/>
  <c r="BD118" i="22"/>
  <c r="BD119" i="22"/>
  <c r="BD120" i="22"/>
  <c r="BD121" i="22"/>
  <c r="BD7" i="22"/>
  <c r="G31" i="22" l="1"/>
  <c r="AL30" i="22" l="1"/>
  <c r="AP29" i="22"/>
  <c r="AS26" i="22" s="1"/>
  <c r="AS27" i="22" s="1"/>
  <c r="AS28" i="22" s="1"/>
  <c r="Y73" i="21" l="1"/>
  <c r="Z73" i="21" s="1"/>
  <c r="Y7" i="21"/>
  <c r="Y82" i="21"/>
  <c r="Z82" i="21" s="1"/>
  <c r="Y65" i="21"/>
  <c r="Z65" i="21" s="1"/>
  <c r="Y66" i="21"/>
  <c r="Z66" i="21" s="1"/>
  <c r="Y69" i="21"/>
  <c r="Z69" i="21" s="1"/>
  <c r="Y71" i="21"/>
  <c r="Z71" i="21" s="1"/>
  <c r="Y70" i="21"/>
  <c r="Z70" i="21" s="1"/>
  <c r="Y72" i="21"/>
  <c r="Z72" i="21" s="1"/>
  <c r="Y89" i="21"/>
  <c r="AA89" i="21" s="1"/>
  <c r="Z89" i="21"/>
  <c r="AB73" i="21"/>
  <c r="AB72" i="21"/>
  <c r="AB70" i="21"/>
  <c r="AB71" i="21"/>
  <c r="AB69" i="21"/>
  <c r="AB66" i="21"/>
  <c r="AB65" i="21"/>
  <c r="AB82" i="21"/>
  <c r="AA82" i="21"/>
  <c r="AA65" i="21"/>
  <c r="AA66" i="21"/>
  <c r="AA69" i="21"/>
  <c r="AA71" i="21"/>
  <c r="AA70" i="21"/>
  <c r="AA72" i="21"/>
  <c r="AA73" i="21"/>
  <c r="AB89" i="21" l="1"/>
  <c r="Z7" i="21"/>
  <c r="AC8" i="21" s="1"/>
  <c r="AF8" i="21" s="1"/>
  <c r="AS20" i="22"/>
  <c r="AS24" i="22" s="1"/>
  <c r="AB7" i="21"/>
  <c r="AA7" i="21"/>
  <c r="AD8" i="21" s="1"/>
  <c r="AG8" i="21" s="1"/>
  <c r="AE9" i="21" l="1"/>
  <c r="AH9" i="21" s="1"/>
  <c r="AE8" i="21"/>
  <c r="AH8" i="21" s="1"/>
  <c r="AD62" i="21"/>
  <c r="AG62" i="21" s="1"/>
  <c r="AD9" i="21"/>
  <c r="AG9" i="21" s="1"/>
  <c r="AC62" i="21"/>
  <c r="AF62" i="21" s="1"/>
  <c r="AC9" i="21"/>
  <c r="AF9" i="21" s="1"/>
  <c r="AE62" i="21"/>
  <c r="AH62" i="21" s="1"/>
  <c r="AD98" i="21"/>
  <c r="AG98" i="21" s="1"/>
  <c r="AD99" i="21"/>
  <c r="AG99" i="21" s="1"/>
  <c r="AD100" i="21"/>
  <c r="AG100" i="21" s="1"/>
  <c r="AD101" i="21"/>
  <c r="AG101" i="21" s="1"/>
  <c r="AD102" i="21"/>
  <c r="AG102" i="21" s="1"/>
  <c r="AD103" i="21"/>
  <c r="AG103" i="21" s="1"/>
  <c r="AD104" i="21"/>
  <c r="AG104" i="21" s="1"/>
  <c r="AD105" i="21"/>
  <c r="AG105" i="21" s="1"/>
  <c r="AD90" i="21"/>
  <c r="AG90" i="21" s="1"/>
  <c r="AD91" i="21"/>
  <c r="AG91" i="21" s="1"/>
  <c r="AD96" i="21"/>
  <c r="AG96" i="21" s="1"/>
  <c r="AD97" i="21"/>
  <c r="AG97" i="21" s="1"/>
  <c r="AD92" i="21"/>
  <c r="AG92" i="21" s="1"/>
  <c r="AD93" i="21"/>
  <c r="AG93" i="21" s="1"/>
  <c r="AD94" i="21"/>
  <c r="AG94" i="21" s="1"/>
  <c r="AD95" i="21"/>
  <c r="AG95" i="21" s="1"/>
  <c r="AE104" i="21"/>
  <c r="AH104" i="21" s="1"/>
  <c r="AE105" i="21"/>
  <c r="AH105" i="21" s="1"/>
  <c r="AE90" i="21"/>
  <c r="AH90" i="21" s="1"/>
  <c r="AE91" i="21"/>
  <c r="AH91" i="21" s="1"/>
  <c r="AE92" i="21"/>
  <c r="AH92" i="21" s="1"/>
  <c r="AE93" i="21"/>
  <c r="AH93" i="21" s="1"/>
  <c r="AE95" i="21"/>
  <c r="AH95" i="21" s="1"/>
  <c r="AE94" i="21"/>
  <c r="AH94" i="21" s="1"/>
  <c r="AE96" i="21"/>
  <c r="AH96" i="21" s="1"/>
  <c r="AE97" i="21"/>
  <c r="AH97" i="21" s="1"/>
  <c r="AE98" i="21"/>
  <c r="AH98" i="21" s="1"/>
  <c r="AE99" i="21"/>
  <c r="AH99" i="21" s="1"/>
  <c r="AE100" i="21"/>
  <c r="AH100" i="21" s="1"/>
  <c r="AE101" i="21"/>
  <c r="AH101" i="21" s="1"/>
  <c r="AE102" i="21"/>
  <c r="AH102" i="21" s="1"/>
  <c r="AE103" i="21"/>
  <c r="AH103" i="21" s="1"/>
  <c r="AC92" i="21"/>
  <c r="AF92" i="21" s="1"/>
  <c r="AC93" i="21"/>
  <c r="AF93" i="21" s="1"/>
  <c r="AC94" i="21"/>
  <c r="AF94" i="21" s="1"/>
  <c r="AC95" i="21"/>
  <c r="AF95" i="21" s="1"/>
  <c r="AC97" i="21"/>
  <c r="AF97" i="21" s="1"/>
  <c r="AC98" i="21"/>
  <c r="AF98" i="21" s="1"/>
  <c r="AC101" i="21"/>
  <c r="AF101" i="21" s="1"/>
  <c r="AC103" i="21"/>
  <c r="AF103" i="21" s="1"/>
  <c r="AC96" i="21"/>
  <c r="AF96" i="21" s="1"/>
  <c r="AC99" i="21"/>
  <c r="AF99" i="21" s="1"/>
  <c r="AC100" i="21"/>
  <c r="AF100" i="21" s="1"/>
  <c r="AC104" i="21"/>
  <c r="AF104" i="21" s="1"/>
  <c r="AC90" i="21"/>
  <c r="AF90" i="21" s="1"/>
  <c r="AC91" i="21"/>
  <c r="AF91" i="21" s="1"/>
  <c r="AC105" i="21"/>
  <c r="AF105" i="21" s="1"/>
  <c r="AC102" i="21"/>
  <c r="AF102" i="21" s="1"/>
  <c r="AD34" i="21"/>
  <c r="AG34" i="21" s="1"/>
  <c r="AD28" i="21"/>
  <c r="AG28" i="21" s="1"/>
  <c r="AD20" i="21"/>
  <c r="AG20" i="21" s="1"/>
  <c r="AD60" i="21"/>
  <c r="AG60" i="21" s="1"/>
  <c r="AD29" i="21"/>
  <c r="AG29" i="21" s="1"/>
  <c r="AD35" i="21"/>
  <c r="AG35" i="21" s="1"/>
  <c r="AD61" i="21"/>
  <c r="AG61" i="21" s="1"/>
  <c r="AD54" i="21"/>
  <c r="AG54" i="21" s="1"/>
  <c r="AD55" i="21"/>
  <c r="AG55" i="21" s="1"/>
  <c r="AD18" i="21"/>
  <c r="AG18" i="21" s="1"/>
  <c r="AD46" i="21"/>
  <c r="AG46" i="21" s="1"/>
  <c r="AD19" i="21"/>
  <c r="AG19" i="21" s="1"/>
  <c r="AD16" i="21"/>
  <c r="AG16" i="21" s="1"/>
  <c r="AD43" i="21"/>
  <c r="AG43" i="21" s="1"/>
  <c r="AD47" i="21"/>
  <c r="AG47" i="21" s="1"/>
  <c r="AD44" i="21"/>
  <c r="AG44" i="21" s="1"/>
  <c r="AD17" i="21"/>
  <c r="AG17" i="21" s="1"/>
  <c r="AD21" i="21"/>
  <c r="AG21" i="21" s="1"/>
  <c r="AD42" i="21"/>
  <c r="AG42" i="21" s="1"/>
  <c r="AD45" i="21"/>
  <c r="AG45" i="21" s="1"/>
  <c r="AE28" i="21"/>
  <c r="AH28" i="21" s="1"/>
  <c r="AE18" i="21"/>
  <c r="AH18" i="21" s="1"/>
  <c r="AE46" i="21"/>
  <c r="AH46" i="21" s="1"/>
  <c r="AE60" i="21"/>
  <c r="AH60" i="21" s="1"/>
  <c r="AE29" i="21"/>
  <c r="AH29" i="21" s="1"/>
  <c r="AE20" i="21"/>
  <c r="AH20" i="21" s="1"/>
  <c r="AE61" i="21"/>
  <c r="AH61" i="21" s="1"/>
  <c r="AE55" i="21"/>
  <c r="AH55" i="21" s="1"/>
  <c r="AE44" i="21"/>
  <c r="AH44" i="21" s="1"/>
  <c r="AE35" i="21"/>
  <c r="AH35" i="21" s="1"/>
  <c r="AE34" i="21"/>
  <c r="AH34" i="21" s="1"/>
  <c r="AE54" i="21"/>
  <c r="AH54" i="21" s="1"/>
  <c r="AE47" i="21"/>
  <c r="AH47" i="21" s="1"/>
  <c r="AE21" i="21"/>
  <c r="AH21" i="21" s="1"/>
  <c r="AE42" i="21"/>
  <c r="AH42" i="21" s="1"/>
  <c r="AE16" i="21"/>
  <c r="AH16" i="21" s="1"/>
  <c r="AE17" i="21"/>
  <c r="AH17" i="21" s="1"/>
  <c r="AE45" i="21"/>
  <c r="AH45" i="21" s="1"/>
  <c r="AE19" i="21"/>
  <c r="AH19" i="21" s="1"/>
  <c r="AE43" i="21"/>
  <c r="AH43" i="21" s="1"/>
  <c r="AC28" i="21"/>
  <c r="AF28" i="21" s="1"/>
  <c r="AC61" i="21"/>
  <c r="AF61" i="21" s="1"/>
  <c r="AC35" i="21"/>
  <c r="AF35" i="21" s="1"/>
  <c r="AC54" i="21"/>
  <c r="AF54" i="21" s="1"/>
  <c r="AC60" i="21"/>
  <c r="AF60" i="21" s="1"/>
  <c r="AC34" i="21"/>
  <c r="AF34" i="21" s="1"/>
  <c r="AC29" i="21"/>
  <c r="AF29" i="21" s="1"/>
  <c r="AC55" i="21"/>
  <c r="AF55" i="21" s="1"/>
  <c r="AC44" i="21"/>
  <c r="AF44" i="21" s="1"/>
  <c r="AC19" i="21"/>
  <c r="AF19" i="21" s="1"/>
  <c r="AC21" i="21"/>
  <c r="AF21" i="21" s="1"/>
  <c r="AC42" i="21"/>
  <c r="AF42" i="21" s="1"/>
  <c r="AC17" i="21"/>
  <c r="AF17" i="21" s="1"/>
  <c r="AC20" i="21"/>
  <c r="AF20" i="21" s="1"/>
  <c r="AC47" i="21"/>
  <c r="AF47" i="21" s="1"/>
  <c r="AC46" i="21"/>
  <c r="AF46" i="21" s="1"/>
  <c r="AC18" i="21"/>
  <c r="AF18" i="21" s="1"/>
  <c r="AC45" i="21"/>
  <c r="AF45" i="21" s="1"/>
  <c r="AC43" i="21"/>
  <c r="AF43" i="21" s="1"/>
  <c r="AC16" i="21"/>
  <c r="AF16" i="21" s="1"/>
  <c r="AD32" i="21"/>
  <c r="AG32" i="21" s="1"/>
  <c r="AD30" i="21"/>
  <c r="AG30" i="21" s="1"/>
  <c r="AD58" i="21"/>
  <c r="AG58" i="21" s="1"/>
  <c r="AD59" i="21"/>
  <c r="AG59" i="21" s="1"/>
  <c r="AD31" i="21"/>
  <c r="AG31" i="21" s="1"/>
  <c r="AD57" i="21"/>
  <c r="AG57" i="21" s="1"/>
  <c r="AD12" i="21"/>
  <c r="AG12" i="21" s="1"/>
  <c r="AD56" i="21"/>
  <c r="AG56" i="21" s="1"/>
  <c r="AD33" i="21"/>
  <c r="AG33" i="21" s="1"/>
  <c r="AD14" i="21"/>
  <c r="AG14" i="21" s="1"/>
  <c r="AE56" i="21"/>
  <c r="AH56" i="21" s="1"/>
  <c r="AE12" i="21"/>
  <c r="AH12" i="21" s="1"/>
  <c r="AE30" i="21"/>
  <c r="AH30" i="21" s="1"/>
  <c r="AE32" i="21"/>
  <c r="AH32" i="21" s="1"/>
  <c r="AE33" i="21"/>
  <c r="AH33" i="21" s="1"/>
  <c r="AE31" i="21"/>
  <c r="AH31" i="21" s="1"/>
  <c r="AE58" i="21"/>
  <c r="AH58" i="21" s="1"/>
  <c r="AE57" i="21"/>
  <c r="AH57" i="21" s="1"/>
  <c r="AE14" i="21"/>
  <c r="AH14" i="21" s="1"/>
  <c r="AE59" i="21"/>
  <c r="AH59" i="21" s="1"/>
  <c r="AC31" i="21"/>
  <c r="AF31" i="21" s="1"/>
  <c r="AC56" i="21"/>
  <c r="AF56" i="21" s="1"/>
  <c r="AC33" i="21"/>
  <c r="AF33" i="21" s="1"/>
  <c r="AC12" i="21"/>
  <c r="AF12" i="21" s="1"/>
  <c r="AC30" i="21"/>
  <c r="AF30" i="21" s="1"/>
  <c r="AC58" i="21"/>
  <c r="AF58" i="21" s="1"/>
  <c r="AC32" i="21"/>
  <c r="AF32" i="21" s="1"/>
  <c r="AC14" i="21"/>
  <c r="AF14" i="21" s="1"/>
  <c r="AC59" i="21"/>
  <c r="AF59" i="21" s="1"/>
  <c r="AC57" i="21"/>
  <c r="AF57" i="21" s="1"/>
  <c r="AE39" i="21"/>
  <c r="AH39" i="21" s="1"/>
  <c r="AE41" i="21"/>
  <c r="AH41" i="21" s="1"/>
  <c r="AE38" i="21"/>
  <c r="AH38" i="21" s="1"/>
  <c r="AE15" i="21"/>
  <c r="AH15" i="21" s="1"/>
  <c r="AE10" i="21"/>
  <c r="AH10" i="21" s="1"/>
  <c r="AE11" i="21"/>
  <c r="AH11" i="21" s="1"/>
  <c r="AE13" i="21"/>
  <c r="AH13" i="21" s="1"/>
  <c r="AE40" i="21"/>
  <c r="AH40" i="21" s="1"/>
  <c r="AD39" i="21"/>
  <c r="AG39" i="21" s="1"/>
  <c r="AD41" i="21"/>
  <c r="AG41" i="21" s="1"/>
  <c r="AD40" i="21"/>
  <c r="AG40" i="21" s="1"/>
  <c r="AD15" i="21"/>
  <c r="AG15" i="21" s="1"/>
  <c r="AD13" i="21"/>
  <c r="AG13" i="21" s="1"/>
  <c r="AD38" i="21"/>
  <c r="AG38" i="21" s="1"/>
  <c r="AD11" i="21"/>
  <c r="AG11" i="21" s="1"/>
  <c r="AD10" i="21"/>
  <c r="AG10" i="21" s="1"/>
  <c r="AC38" i="21"/>
  <c r="AF38" i="21" s="1"/>
  <c r="AC40" i="21"/>
  <c r="AF40" i="21" s="1"/>
  <c r="AC13" i="21"/>
  <c r="AF13" i="21" s="1"/>
  <c r="AC39" i="21"/>
  <c r="AF39" i="21" s="1"/>
  <c r="AC41" i="21"/>
  <c r="AF41" i="21" s="1"/>
  <c r="AC10" i="21"/>
  <c r="AF10" i="21" s="1"/>
  <c r="AC15" i="21"/>
  <c r="AF15" i="21" s="1"/>
  <c r="AC11" i="21"/>
  <c r="AF11" i="21" s="1"/>
  <c r="AD23" i="21"/>
  <c r="AG23" i="21" s="1"/>
  <c r="AD37" i="21"/>
  <c r="AG37" i="21" s="1"/>
  <c r="AD36" i="21"/>
  <c r="AG36" i="21" s="1"/>
  <c r="AD22" i="21"/>
  <c r="AG22" i="21" s="1"/>
  <c r="AE24" i="21"/>
  <c r="AH24" i="21" s="1"/>
  <c r="AE36" i="21"/>
  <c r="AH36" i="21" s="1"/>
  <c r="AE22" i="21"/>
  <c r="AH22" i="21" s="1"/>
  <c r="AE37" i="21"/>
  <c r="AH37" i="21" s="1"/>
  <c r="AE23" i="21"/>
  <c r="AH23" i="21" s="1"/>
  <c r="AC37" i="21"/>
  <c r="AF37" i="21" s="1"/>
  <c r="AC23" i="21"/>
  <c r="AF23" i="21" s="1"/>
  <c r="AC22" i="21"/>
  <c r="AF22" i="21" s="1"/>
  <c r="AC36" i="21"/>
  <c r="AF36" i="21" s="1"/>
  <c r="AD25" i="21"/>
  <c r="AG25" i="21" s="1"/>
  <c r="AD24" i="21"/>
  <c r="AG24" i="21" s="1"/>
  <c r="AC25" i="21"/>
  <c r="AF25" i="21" s="1"/>
  <c r="AC24" i="21"/>
  <c r="AF24" i="21" s="1"/>
  <c r="AE26" i="21"/>
  <c r="AH26" i="21" s="1"/>
  <c r="AE25" i="21"/>
  <c r="AH25" i="21" s="1"/>
  <c r="AD27" i="21"/>
  <c r="AG27" i="21" s="1"/>
  <c r="AD26" i="21"/>
  <c r="AG26" i="21" s="1"/>
  <c r="AC27" i="21"/>
  <c r="AF27" i="21" s="1"/>
  <c r="AC26" i="21"/>
  <c r="AF26" i="21" s="1"/>
  <c r="AE27" i="21"/>
  <c r="AH27" i="21" s="1"/>
  <c r="AD50" i="21"/>
  <c r="AG50" i="21" s="1"/>
  <c r="AD51" i="21"/>
  <c r="AG51" i="21" s="1"/>
  <c r="AE50" i="21"/>
  <c r="AH50" i="21" s="1"/>
  <c r="AE51" i="21"/>
  <c r="AH51" i="21" s="1"/>
  <c r="AC50" i="21"/>
  <c r="AF50" i="21" s="1"/>
  <c r="AC51" i="21"/>
  <c r="AF51" i="21" s="1"/>
  <c r="AD53" i="21"/>
  <c r="AG53" i="21" s="1"/>
  <c r="AD52" i="21"/>
  <c r="AG52" i="21" s="1"/>
  <c r="AE53" i="21"/>
  <c r="AH53" i="21" s="1"/>
  <c r="AE52" i="21"/>
  <c r="AH52" i="21" s="1"/>
  <c r="AC53" i="21"/>
  <c r="AF53" i="21" s="1"/>
  <c r="AC52" i="21"/>
  <c r="AF52" i="21" s="1"/>
  <c r="AE48" i="21"/>
  <c r="AH48" i="21" s="1"/>
  <c r="AE49" i="21"/>
  <c r="AH49" i="21" s="1"/>
  <c r="AC48" i="21"/>
  <c r="AF48" i="21" s="1"/>
  <c r="AC49" i="21"/>
  <c r="AF49" i="21" s="1"/>
  <c r="AD48" i="21"/>
  <c r="AG48" i="21" s="1"/>
  <c r="AD49" i="21"/>
  <c r="AG49" i="21" s="1"/>
  <c r="AD81" i="21"/>
  <c r="AG81" i="21" s="1"/>
  <c r="AE81" i="21"/>
  <c r="AH81" i="21" s="1"/>
  <c r="K31" i="22"/>
  <c r="AP13" i="22"/>
  <c r="AC68" i="21"/>
  <c r="AF68" i="21" s="1"/>
  <c r="AC81" i="21"/>
  <c r="AF81" i="21" s="1"/>
  <c r="AC80" i="21"/>
  <c r="AF80" i="21" s="1"/>
  <c r="AC70" i="21"/>
  <c r="AF70" i="21" s="1"/>
  <c r="AC74" i="21"/>
  <c r="AF74" i="21" s="1"/>
  <c r="AC7" i="21"/>
  <c r="AF7" i="21" s="1"/>
  <c r="AC86" i="21"/>
  <c r="AF86" i="21" s="1"/>
  <c r="AC77" i="21"/>
  <c r="AF77" i="21" s="1"/>
  <c r="AC64" i="21"/>
  <c r="AF64" i="21" s="1"/>
  <c r="AC85" i="21"/>
  <c r="AF85" i="21" s="1"/>
  <c r="AC75" i="21"/>
  <c r="AF75" i="21" s="1"/>
  <c r="AC87" i="21"/>
  <c r="AF87" i="21" s="1"/>
  <c r="AC67" i="21"/>
  <c r="AF67" i="21" s="1"/>
  <c r="AC66" i="21"/>
  <c r="AF66" i="21" s="1"/>
  <c r="AC63" i="21"/>
  <c r="AF63" i="21" s="1"/>
  <c r="AC79" i="21"/>
  <c r="AF79" i="21" s="1"/>
  <c r="AC71" i="21"/>
  <c r="AF71" i="21" s="1"/>
  <c r="AC89" i="21"/>
  <c r="AF89" i="21" s="1"/>
  <c r="AC72" i="21"/>
  <c r="AF72" i="21" s="1"/>
  <c r="AC82" i="21"/>
  <c r="AF82" i="21" s="1"/>
  <c r="AC84" i="21"/>
  <c r="AF84" i="21" s="1"/>
  <c r="AC73" i="21"/>
  <c r="AF73" i="21" s="1"/>
  <c r="AC88" i="21"/>
  <c r="AF88" i="21" s="1"/>
  <c r="AC76" i="21"/>
  <c r="AF76" i="21" s="1"/>
  <c r="AC65" i="21"/>
  <c r="AF65" i="21" s="1"/>
  <c r="AC78" i="21"/>
  <c r="AF78" i="21" s="1"/>
  <c r="AC83" i="21"/>
  <c r="AF83" i="21" s="1"/>
  <c r="AC69" i="21"/>
  <c r="AF69" i="21" s="1"/>
  <c r="AD75" i="21"/>
  <c r="AG75" i="21" s="1"/>
  <c r="AD79" i="21"/>
  <c r="AG79" i="21" s="1"/>
  <c r="AE75" i="21"/>
  <c r="AH75" i="21" s="1"/>
  <c r="AE79" i="21"/>
  <c r="AH79" i="21" s="1"/>
  <c r="AD74" i="21"/>
  <c r="AG74" i="21" s="1"/>
  <c r="AD77" i="21"/>
  <c r="AG77" i="21" s="1"/>
  <c r="AE74" i="21"/>
  <c r="AH74" i="21" s="1"/>
  <c r="AE77" i="21"/>
  <c r="AH77" i="21" s="1"/>
  <c r="AD64" i="21"/>
  <c r="AG64" i="21" s="1"/>
  <c r="AD76" i="21"/>
  <c r="AG76" i="21" s="1"/>
  <c r="AE64" i="21"/>
  <c r="AH64" i="21" s="1"/>
  <c r="AE76" i="21"/>
  <c r="AH76" i="21" s="1"/>
  <c r="AD68" i="21"/>
  <c r="AG68" i="21" s="1"/>
  <c r="AD80" i="21"/>
  <c r="AG80" i="21" s="1"/>
  <c r="AE68" i="21"/>
  <c r="AH68" i="21" s="1"/>
  <c r="AE80" i="21"/>
  <c r="AH80" i="21" s="1"/>
  <c r="AD73" i="21"/>
  <c r="AG73" i="21" s="1"/>
  <c r="AE78" i="21"/>
  <c r="AH78" i="21" s="1"/>
  <c r="AD78" i="21"/>
  <c r="AG78" i="21" s="1"/>
  <c r="AD88" i="21"/>
  <c r="AG88" i="21" s="1"/>
  <c r="AE88" i="21"/>
  <c r="AH88" i="21" s="1"/>
  <c r="AE85" i="21"/>
  <c r="AH85" i="21" s="1"/>
  <c r="AE63" i="21"/>
  <c r="AH63" i="21" s="1"/>
  <c r="AD85" i="21"/>
  <c r="AG85" i="21" s="1"/>
  <c r="AD63" i="21"/>
  <c r="AG63" i="21" s="1"/>
  <c r="AE82" i="21"/>
  <c r="AH82" i="21" s="1"/>
  <c r="AD71" i="21"/>
  <c r="AG71" i="21" s="1"/>
  <c r="AE66" i="21"/>
  <c r="AH66" i="21" s="1"/>
  <c r="AE73" i="21"/>
  <c r="AH73" i="21" s="1"/>
  <c r="AD69" i="21"/>
  <c r="AG69" i="21" s="1"/>
  <c r="AE7" i="21"/>
  <c r="AH7" i="21" s="1"/>
  <c r="AD70" i="21"/>
  <c r="AG70" i="21" s="1"/>
  <c r="AD86" i="21"/>
  <c r="AG86" i="21" s="1"/>
  <c r="AE65" i="21"/>
  <c r="AH65" i="21" s="1"/>
  <c r="AE86" i="21"/>
  <c r="AH86" i="21" s="1"/>
  <c r="AD89" i="21"/>
  <c r="AG89" i="21" s="1"/>
  <c r="AD7" i="21"/>
  <c r="AG7" i="21" s="1"/>
  <c r="AD65" i="21"/>
  <c r="AG65" i="21" s="1"/>
  <c r="AE72" i="21"/>
  <c r="AH72" i="21" s="1"/>
  <c r="AE70" i="21"/>
  <c r="AH70" i="21" s="1"/>
  <c r="AD72" i="21"/>
  <c r="AG72" i="21" s="1"/>
  <c r="AD67" i="21"/>
  <c r="AE71" i="21"/>
  <c r="AH71" i="21" s="1"/>
  <c r="AE89" i="21"/>
  <c r="AH89" i="21" s="1"/>
  <c r="AE84" i="21"/>
  <c r="AH84" i="21" s="1"/>
  <c r="AE67" i="21"/>
  <c r="AE69" i="21"/>
  <c r="AH69" i="21" s="1"/>
  <c r="AD87" i="21"/>
  <c r="AG87" i="21" s="1"/>
  <c r="AD84" i="21"/>
  <c r="AG84" i="21" s="1"/>
  <c r="AD82" i="21"/>
  <c r="AG82" i="21" s="1"/>
  <c r="AE83" i="21"/>
  <c r="AH83" i="21" s="1"/>
  <c r="AE87" i="21"/>
  <c r="AH87" i="21" s="1"/>
  <c r="AD66" i="21"/>
  <c r="AG66" i="21" s="1"/>
  <c r="AD83" i="21"/>
  <c r="AG83" i="21" s="1"/>
  <c r="AM9" i="22"/>
  <c r="BE7" i="22"/>
  <c r="BF7" i="22" s="1"/>
  <c r="BG7" i="22" s="1"/>
  <c r="BH7" i="22" s="1"/>
  <c r="BE8" i="22"/>
  <c r="BF8" i="22" s="1"/>
  <c r="BG8" i="22" s="1"/>
  <c r="BH8" i="22" s="1"/>
  <c r="BE9" i="22"/>
  <c r="BF9" i="22" s="1"/>
  <c r="BG9" i="22" s="1"/>
  <c r="BH9" i="22" s="1"/>
  <c r="BE10" i="22"/>
  <c r="BF10" i="22" s="1"/>
  <c r="BG10" i="22" s="1"/>
  <c r="BH10" i="22" s="1"/>
  <c r="BE11" i="22"/>
  <c r="BF11" i="22" s="1"/>
  <c r="BG11" i="22" s="1"/>
  <c r="BH11" i="22" s="1"/>
  <c r="BE12" i="22"/>
  <c r="BF12" i="22" s="1"/>
  <c r="BG12" i="22" s="1"/>
  <c r="BH12" i="22" s="1"/>
  <c r="BE13" i="22"/>
  <c r="BF13" i="22" s="1"/>
  <c r="BG13" i="22" s="1"/>
  <c r="BH13" i="22" s="1"/>
  <c r="BE14" i="22"/>
  <c r="BF14" i="22" s="1"/>
  <c r="BG14" i="22" s="1"/>
  <c r="BH14" i="22" s="1"/>
  <c r="BE15" i="22"/>
  <c r="BF15" i="22" s="1"/>
  <c r="BG15" i="22" s="1"/>
  <c r="BH15" i="22" s="1"/>
  <c r="BE16" i="22"/>
  <c r="BF16" i="22" s="1"/>
  <c r="BG16" i="22" s="1"/>
  <c r="BH16" i="22" s="1"/>
  <c r="BE17" i="22"/>
  <c r="BF17" i="22" s="1"/>
  <c r="BG17" i="22" s="1"/>
  <c r="BH17" i="22" s="1"/>
  <c r="BE18" i="22"/>
  <c r="BF18" i="22" s="1"/>
  <c r="BG18" i="22" s="1"/>
  <c r="BH18" i="22" s="1"/>
  <c r="BE19" i="22"/>
  <c r="BF19" i="22" s="1"/>
  <c r="BG19" i="22" s="1"/>
  <c r="BH19" i="22" s="1"/>
  <c r="BE20" i="22"/>
  <c r="BF20" i="22" s="1"/>
  <c r="BG20" i="22" s="1"/>
  <c r="BH20" i="22" s="1"/>
  <c r="BE21" i="22"/>
  <c r="BF21" i="22" s="1"/>
  <c r="BG21" i="22" s="1"/>
  <c r="BH21" i="22" s="1"/>
  <c r="BE22" i="22"/>
  <c r="BF22" i="22" s="1"/>
  <c r="BG22" i="22" s="1"/>
  <c r="BH22" i="22" s="1"/>
  <c r="BE23" i="22"/>
  <c r="BF23" i="22" s="1"/>
  <c r="BG23" i="22" s="1"/>
  <c r="BH23" i="22" s="1"/>
  <c r="BE24" i="22"/>
  <c r="BF24" i="22" s="1"/>
  <c r="BG24" i="22" s="1"/>
  <c r="BH24" i="22" s="1"/>
  <c r="BE25" i="22"/>
  <c r="BF25" i="22" s="1"/>
  <c r="BG25" i="22" s="1"/>
  <c r="BH25" i="22" s="1"/>
  <c r="BE26" i="22"/>
  <c r="BF26" i="22" s="1"/>
  <c r="BG26" i="22" s="1"/>
  <c r="BH26" i="22" s="1"/>
  <c r="BE29" i="22"/>
  <c r="BF29" i="22" s="1"/>
  <c r="BG29" i="22" s="1"/>
  <c r="BH29" i="22" s="1"/>
  <c r="BE30" i="22"/>
  <c r="BF30" i="22" s="1"/>
  <c r="BG30" i="22" s="1"/>
  <c r="BH30" i="22" s="1"/>
  <c r="BE31" i="22"/>
  <c r="BF31" i="22" s="1"/>
  <c r="BG31" i="22" s="1"/>
  <c r="BH31" i="22" s="1"/>
  <c r="BE32" i="22"/>
  <c r="BF32" i="22" s="1"/>
  <c r="BG32" i="22" s="1"/>
  <c r="BH32" i="22" s="1"/>
  <c r="BE33" i="22"/>
  <c r="BF33" i="22" s="1"/>
  <c r="BG33" i="22" s="1"/>
  <c r="BH33" i="22" s="1"/>
  <c r="BE34" i="22"/>
  <c r="BF34" i="22" s="1"/>
  <c r="BG34" i="22" s="1"/>
  <c r="BH34" i="22" s="1"/>
  <c r="BE35" i="22"/>
  <c r="BF35" i="22" s="1"/>
  <c r="BG35" i="22" s="1"/>
  <c r="BH35" i="22" s="1"/>
  <c r="BE36" i="22"/>
  <c r="BF36" i="22" s="1"/>
  <c r="BG36" i="22" s="1"/>
  <c r="BH36" i="22" s="1"/>
  <c r="BE37" i="22"/>
  <c r="BF37" i="22" s="1"/>
  <c r="BG37" i="22" s="1"/>
  <c r="BH37" i="22" s="1"/>
  <c r="BE38" i="22"/>
  <c r="BF38" i="22" s="1"/>
  <c r="BG38" i="22" s="1"/>
  <c r="BH38" i="22" s="1"/>
  <c r="BE39" i="22"/>
  <c r="BF39" i="22" s="1"/>
  <c r="BG39" i="22" s="1"/>
  <c r="BH39" i="22" s="1"/>
  <c r="BE40" i="22"/>
  <c r="BF40" i="22" s="1"/>
  <c r="BG40" i="22" s="1"/>
  <c r="BH40" i="22" s="1"/>
  <c r="BE41" i="22"/>
  <c r="BF41" i="22" s="1"/>
  <c r="BG41" i="22" s="1"/>
  <c r="BH41" i="22" s="1"/>
  <c r="BE42" i="22"/>
  <c r="BF42" i="22" s="1"/>
  <c r="BG42" i="22" s="1"/>
  <c r="BH42" i="22" s="1"/>
  <c r="BE43" i="22"/>
  <c r="BF43" i="22" s="1"/>
  <c r="BG43" i="22" s="1"/>
  <c r="BH43" i="22" s="1"/>
  <c r="BE44" i="22"/>
  <c r="BF44" i="22" s="1"/>
  <c r="BG44" i="22" s="1"/>
  <c r="BH44" i="22" s="1"/>
  <c r="BE45" i="22"/>
  <c r="BF45" i="22" s="1"/>
  <c r="BG45" i="22" s="1"/>
  <c r="BH45" i="22" s="1"/>
  <c r="BE66" i="22"/>
  <c r="BF66" i="22" s="1"/>
  <c r="BG66" i="22" s="1"/>
  <c r="BH66" i="22" s="1"/>
  <c r="BE67" i="22"/>
  <c r="BF67" i="22" s="1"/>
  <c r="BG67" i="22" s="1"/>
  <c r="BH67" i="22" s="1"/>
  <c r="BE69" i="22"/>
  <c r="BF69" i="22" s="1"/>
  <c r="BG69" i="22" s="1"/>
  <c r="BH69" i="22" s="1"/>
  <c r="BE70" i="22"/>
  <c r="BF70" i="22" s="1"/>
  <c r="BG70" i="22" s="1"/>
  <c r="BH70" i="22" s="1"/>
  <c r="BE71" i="22"/>
  <c r="BF71" i="22" s="1"/>
  <c r="BG71" i="22" s="1"/>
  <c r="BH71" i="22" s="1"/>
  <c r="BE72" i="22"/>
  <c r="BF72" i="22" s="1"/>
  <c r="BG72" i="22" s="1"/>
  <c r="BH72" i="22" s="1"/>
  <c r="BE73" i="22"/>
  <c r="BF73" i="22" s="1"/>
  <c r="BG73" i="22" s="1"/>
  <c r="BH73" i="22" s="1"/>
  <c r="BE74" i="22"/>
  <c r="BF74" i="22" s="1"/>
  <c r="BG74" i="22" s="1"/>
  <c r="BH74" i="22" s="1"/>
  <c r="BE75" i="22"/>
  <c r="BF75" i="22" s="1"/>
  <c r="BG75" i="22" s="1"/>
  <c r="BH75" i="22" s="1"/>
  <c r="BE76" i="22"/>
  <c r="BF76" i="22" s="1"/>
  <c r="BG76" i="22" s="1"/>
  <c r="BH76" i="22" s="1"/>
  <c r="BE77" i="22"/>
  <c r="BF77" i="22" s="1"/>
  <c r="BG77" i="22" s="1"/>
  <c r="BH77" i="22" s="1"/>
  <c r="BE78" i="22"/>
  <c r="BF78" i="22" s="1"/>
  <c r="BG78" i="22" s="1"/>
  <c r="BH78" i="22" s="1"/>
  <c r="BE79" i="22"/>
  <c r="BF79" i="22" s="1"/>
  <c r="BG79" i="22" s="1"/>
  <c r="BH79" i="22" s="1"/>
  <c r="BE80" i="22"/>
  <c r="BF80" i="22" s="1"/>
  <c r="BG80" i="22" s="1"/>
  <c r="BH80" i="22" s="1"/>
  <c r="BE81" i="22"/>
  <c r="BF81" i="22" s="1"/>
  <c r="BG81" i="22" s="1"/>
  <c r="BH81" i="22" s="1"/>
  <c r="BE82" i="22"/>
  <c r="BF82" i="22" s="1"/>
  <c r="BG82" i="22" s="1"/>
  <c r="BH82" i="22" s="1"/>
  <c r="BE83" i="22"/>
  <c r="BF83" i="22" s="1"/>
  <c r="BG83" i="22" s="1"/>
  <c r="BH83" i="22" s="1"/>
  <c r="BE84" i="22"/>
  <c r="BF84" i="22" s="1"/>
  <c r="BG84" i="22" s="1"/>
  <c r="BH84" i="22" s="1"/>
  <c r="BE85" i="22"/>
  <c r="BF85" i="22" s="1"/>
  <c r="BG85" i="22" s="1"/>
  <c r="BH85" i="22" s="1"/>
  <c r="BE86" i="22"/>
  <c r="BF86" i="22" s="1"/>
  <c r="BG86" i="22" s="1"/>
  <c r="BH86" i="22" s="1"/>
  <c r="BE87" i="22"/>
  <c r="BF87" i="22" s="1"/>
  <c r="BG87" i="22" s="1"/>
  <c r="BH87" i="22" s="1"/>
  <c r="BE88" i="22"/>
  <c r="BF88" i="22" s="1"/>
  <c r="BG88" i="22" s="1"/>
  <c r="BH88" i="22" s="1"/>
  <c r="BE89" i="22"/>
  <c r="BF89" i="22" s="1"/>
  <c r="BG89" i="22" s="1"/>
  <c r="BH89" i="22" s="1"/>
  <c r="BE90" i="22"/>
  <c r="BF90" i="22" s="1"/>
  <c r="BG90" i="22" s="1"/>
  <c r="BH90" i="22" s="1"/>
  <c r="BE91" i="22"/>
  <c r="BF91" i="22" s="1"/>
  <c r="BG91" i="22" s="1"/>
  <c r="BH91" i="22" s="1"/>
  <c r="BE92" i="22"/>
  <c r="BF92" i="22" s="1"/>
  <c r="BG92" i="22" s="1"/>
  <c r="BH92" i="22" s="1"/>
  <c r="BE93" i="22"/>
  <c r="BF93" i="22" s="1"/>
  <c r="BG93" i="22" s="1"/>
  <c r="BH93" i="22" s="1"/>
  <c r="BE94" i="22"/>
  <c r="BF94" i="22" s="1"/>
  <c r="BG94" i="22" s="1"/>
  <c r="BH94" i="22" s="1"/>
  <c r="BE95" i="22"/>
  <c r="BF95" i="22" s="1"/>
  <c r="BG95" i="22" s="1"/>
  <c r="BH95" i="22" s="1"/>
  <c r="BE96" i="22"/>
  <c r="BF96" i="22" s="1"/>
  <c r="BG96" i="22" s="1"/>
  <c r="BH96" i="22" s="1"/>
  <c r="BE97" i="22"/>
  <c r="BF97" i="22" s="1"/>
  <c r="BG97" i="22" s="1"/>
  <c r="BH97" i="22" s="1"/>
  <c r="BE98" i="22"/>
  <c r="BF98" i="22" s="1"/>
  <c r="BG98" i="22" s="1"/>
  <c r="BH98" i="22" s="1"/>
  <c r="BE99" i="22"/>
  <c r="BF99" i="22" s="1"/>
  <c r="BG99" i="22" s="1"/>
  <c r="BH99" i="22" s="1"/>
  <c r="BE100" i="22"/>
  <c r="BF100" i="22" s="1"/>
  <c r="BG100" i="22" s="1"/>
  <c r="BH100" i="22" s="1"/>
  <c r="BE101" i="22"/>
  <c r="BF101" i="22" s="1"/>
  <c r="BG101" i="22" s="1"/>
  <c r="BH101" i="22" s="1"/>
  <c r="BE102" i="22"/>
  <c r="BF102" i="22" s="1"/>
  <c r="BG102" i="22" s="1"/>
  <c r="BH102" i="22" s="1"/>
  <c r="BE103" i="22"/>
  <c r="BF103" i="22" s="1"/>
  <c r="BG103" i="22" s="1"/>
  <c r="BH103" i="22" s="1"/>
  <c r="BE104" i="22"/>
  <c r="BF104" i="22" s="1"/>
  <c r="BG104" i="22" s="1"/>
  <c r="BH104" i="22" s="1"/>
  <c r="BE105" i="22"/>
  <c r="BF105" i="22" s="1"/>
  <c r="BG105" i="22" s="1"/>
  <c r="BH105" i="22" s="1"/>
  <c r="BE106" i="22"/>
  <c r="BF106" i="22" s="1"/>
  <c r="BG106" i="22" s="1"/>
  <c r="BH106" i="22" s="1"/>
  <c r="BE107" i="22"/>
  <c r="BF107" i="22" s="1"/>
  <c r="BG107" i="22" s="1"/>
  <c r="BH107" i="22" s="1"/>
  <c r="BE108" i="22"/>
  <c r="BF108" i="22" s="1"/>
  <c r="BG108" i="22" s="1"/>
  <c r="BH108" i="22" s="1"/>
  <c r="BE109" i="22"/>
  <c r="BF109" i="22" s="1"/>
  <c r="BG109" i="22" s="1"/>
  <c r="BH109" i="22" s="1"/>
  <c r="BE110" i="22"/>
  <c r="BF110" i="22" s="1"/>
  <c r="BG110" i="22" s="1"/>
  <c r="BH110" i="22" s="1"/>
  <c r="BE111" i="22"/>
  <c r="BF111" i="22" s="1"/>
  <c r="BG111" i="22" s="1"/>
  <c r="BH111" i="22" s="1"/>
  <c r="BE112" i="22"/>
  <c r="BF112" i="22" s="1"/>
  <c r="BG112" i="22" s="1"/>
  <c r="BH112" i="22" s="1"/>
  <c r="BE113" i="22"/>
  <c r="BF113" i="22" s="1"/>
  <c r="BG113" i="22" s="1"/>
  <c r="BH113" i="22" s="1"/>
  <c r="BE114" i="22"/>
  <c r="BF114" i="22" s="1"/>
  <c r="BG114" i="22" s="1"/>
  <c r="BH114" i="22" s="1"/>
  <c r="BE115" i="22"/>
  <c r="BF115" i="22" s="1"/>
  <c r="BG115" i="22" s="1"/>
  <c r="BH115" i="22" s="1"/>
  <c r="BE116" i="22"/>
  <c r="BF116" i="22" s="1"/>
  <c r="BG116" i="22" s="1"/>
  <c r="BH116" i="22" s="1"/>
  <c r="BE117" i="22"/>
  <c r="BF117" i="22" s="1"/>
  <c r="BG117" i="22" s="1"/>
  <c r="BH117" i="22" s="1"/>
  <c r="BE118" i="22"/>
  <c r="BF118" i="22" s="1"/>
  <c r="BG118" i="22" s="1"/>
  <c r="BH118" i="22" s="1"/>
  <c r="BE119" i="22"/>
  <c r="BF119" i="22" s="1"/>
  <c r="BG119" i="22" s="1"/>
  <c r="BH119" i="22" s="1"/>
  <c r="BE120" i="22"/>
  <c r="BF120" i="22" s="1"/>
  <c r="BG120" i="22" s="1"/>
  <c r="BH120" i="22" s="1"/>
  <c r="BE121" i="22"/>
  <c r="BF121" i="22" s="1"/>
  <c r="BG121" i="22" s="1"/>
  <c r="BH121" i="22" s="1"/>
  <c r="AZ7" i="22"/>
  <c r="AZ8" i="22"/>
  <c r="BA8" i="22" s="1"/>
  <c r="BB8" i="22" s="1"/>
  <c r="BC8" i="22" s="1"/>
  <c r="AZ9" i="22"/>
  <c r="BA9" i="22" s="1"/>
  <c r="BB9" i="22" s="1"/>
  <c r="BC9" i="22" s="1"/>
  <c r="AZ10" i="22"/>
  <c r="BA10" i="22" s="1"/>
  <c r="BB10" i="22" s="1"/>
  <c r="BC10" i="22" s="1"/>
  <c r="AZ11" i="22"/>
  <c r="BA11" i="22" s="1"/>
  <c r="BB11" i="22" s="1"/>
  <c r="BC11" i="22" s="1"/>
  <c r="AZ12" i="22"/>
  <c r="BA12" i="22" s="1"/>
  <c r="BB12" i="22" s="1"/>
  <c r="BC12" i="22" s="1"/>
  <c r="AZ13" i="22"/>
  <c r="BA13" i="22" s="1"/>
  <c r="BB13" i="22" s="1"/>
  <c r="BC13" i="22" s="1"/>
  <c r="AZ14" i="22"/>
  <c r="BA14" i="22" s="1"/>
  <c r="BB14" i="22" s="1"/>
  <c r="BC14" i="22" s="1"/>
  <c r="AZ15" i="22"/>
  <c r="BA15" i="22" s="1"/>
  <c r="BB15" i="22" s="1"/>
  <c r="BC15" i="22" s="1"/>
  <c r="AZ16" i="22"/>
  <c r="BA16" i="22" s="1"/>
  <c r="BB16" i="22" s="1"/>
  <c r="BC16" i="22" s="1"/>
  <c r="AZ17" i="22"/>
  <c r="BA17" i="22" s="1"/>
  <c r="BB17" i="22" s="1"/>
  <c r="BC17" i="22" s="1"/>
  <c r="AZ18" i="22"/>
  <c r="BA18" i="22" s="1"/>
  <c r="BB18" i="22" s="1"/>
  <c r="BC18" i="22" s="1"/>
  <c r="AZ19" i="22"/>
  <c r="BA19" i="22" s="1"/>
  <c r="BB19" i="22" s="1"/>
  <c r="BC19" i="22" s="1"/>
  <c r="AZ20" i="22"/>
  <c r="BA20" i="22" s="1"/>
  <c r="BB20" i="22" s="1"/>
  <c r="BC20" i="22" s="1"/>
  <c r="AZ21" i="22"/>
  <c r="BA21" i="22" s="1"/>
  <c r="BB21" i="22" s="1"/>
  <c r="BC21" i="22" s="1"/>
  <c r="AZ22" i="22"/>
  <c r="BA22" i="22" s="1"/>
  <c r="BB22" i="22" s="1"/>
  <c r="BC22" i="22" s="1"/>
  <c r="AZ23" i="22"/>
  <c r="BA23" i="22" s="1"/>
  <c r="BB23" i="22" s="1"/>
  <c r="BC23" i="22" s="1"/>
  <c r="AZ24" i="22"/>
  <c r="BA24" i="22" s="1"/>
  <c r="BB24" i="22" s="1"/>
  <c r="BC24" i="22" s="1"/>
  <c r="AZ25" i="22"/>
  <c r="BA25" i="22" s="1"/>
  <c r="BB25" i="22" s="1"/>
  <c r="BC25" i="22" s="1"/>
  <c r="AZ26" i="22"/>
  <c r="BA26" i="22" s="1"/>
  <c r="BB26" i="22" s="1"/>
  <c r="BC26" i="22" s="1"/>
  <c r="AZ29" i="22"/>
  <c r="BA29" i="22" s="1"/>
  <c r="BB29" i="22" s="1"/>
  <c r="BC29" i="22" s="1"/>
  <c r="AZ30" i="22"/>
  <c r="BA30" i="22" s="1"/>
  <c r="BB30" i="22" s="1"/>
  <c r="BC30" i="22" s="1"/>
  <c r="AZ31" i="22"/>
  <c r="BA31" i="22" s="1"/>
  <c r="BB31" i="22" s="1"/>
  <c r="BC31" i="22" s="1"/>
  <c r="AZ32" i="22"/>
  <c r="BA32" i="22" s="1"/>
  <c r="BB32" i="22" s="1"/>
  <c r="BC32" i="22" s="1"/>
  <c r="AZ33" i="22"/>
  <c r="BA33" i="22" s="1"/>
  <c r="BB33" i="22" s="1"/>
  <c r="BC33" i="22" s="1"/>
  <c r="AZ34" i="22"/>
  <c r="BA34" i="22" s="1"/>
  <c r="BB34" i="22" s="1"/>
  <c r="BC34" i="22" s="1"/>
  <c r="AZ35" i="22"/>
  <c r="BA35" i="22" s="1"/>
  <c r="BB35" i="22" s="1"/>
  <c r="BC35" i="22" s="1"/>
  <c r="AZ36" i="22"/>
  <c r="BA36" i="22" s="1"/>
  <c r="BB36" i="22" s="1"/>
  <c r="BC36" i="22" s="1"/>
  <c r="AZ37" i="22"/>
  <c r="BA37" i="22" s="1"/>
  <c r="BB37" i="22" s="1"/>
  <c r="BC37" i="22" s="1"/>
  <c r="AZ38" i="22"/>
  <c r="BA38" i="22" s="1"/>
  <c r="BB38" i="22" s="1"/>
  <c r="BC38" i="22" s="1"/>
  <c r="AZ39" i="22"/>
  <c r="BA39" i="22" s="1"/>
  <c r="BB39" i="22" s="1"/>
  <c r="BC39" i="22" s="1"/>
  <c r="AZ40" i="22"/>
  <c r="BA40" i="22" s="1"/>
  <c r="BB40" i="22" s="1"/>
  <c r="BC40" i="22" s="1"/>
  <c r="AZ41" i="22"/>
  <c r="BA41" i="22" s="1"/>
  <c r="BB41" i="22" s="1"/>
  <c r="BC41" i="22" s="1"/>
  <c r="AZ42" i="22"/>
  <c r="BA42" i="22" s="1"/>
  <c r="BB42" i="22" s="1"/>
  <c r="BC42" i="22" s="1"/>
  <c r="AZ43" i="22"/>
  <c r="BA43" i="22" s="1"/>
  <c r="BB43" i="22" s="1"/>
  <c r="BC43" i="22" s="1"/>
  <c r="AZ44" i="22"/>
  <c r="BA44" i="22" s="1"/>
  <c r="BB44" i="22" s="1"/>
  <c r="BC44" i="22" s="1"/>
  <c r="AZ45" i="22"/>
  <c r="BA45" i="22" s="1"/>
  <c r="BB45" i="22" s="1"/>
  <c r="BC45" i="22" s="1"/>
  <c r="AZ66" i="22"/>
  <c r="BA66" i="22" s="1"/>
  <c r="BB66" i="22" s="1"/>
  <c r="BC66" i="22" s="1"/>
  <c r="AZ67" i="22"/>
  <c r="BA67" i="22" s="1"/>
  <c r="BB67" i="22" s="1"/>
  <c r="BC67" i="22" s="1"/>
  <c r="AZ69" i="22"/>
  <c r="BA69" i="22" s="1"/>
  <c r="BB69" i="22" s="1"/>
  <c r="BC69" i="22" s="1"/>
  <c r="AZ70" i="22"/>
  <c r="BA70" i="22" s="1"/>
  <c r="BB70" i="22" s="1"/>
  <c r="BC70" i="22" s="1"/>
  <c r="AZ71" i="22"/>
  <c r="BA71" i="22" s="1"/>
  <c r="BB71" i="22" s="1"/>
  <c r="BC71" i="22" s="1"/>
  <c r="AZ72" i="22"/>
  <c r="BA72" i="22" s="1"/>
  <c r="BB72" i="22" s="1"/>
  <c r="BC72" i="22" s="1"/>
  <c r="AZ73" i="22"/>
  <c r="BA73" i="22" s="1"/>
  <c r="BB73" i="22" s="1"/>
  <c r="BC73" i="22" s="1"/>
  <c r="AZ74" i="22"/>
  <c r="BA74" i="22" s="1"/>
  <c r="BB74" i="22" s="1"/>
  <c r="BC74" i="22" s="1"/>
  <c r="AZ75" i="22"/>
  <c r="BA75" i="22" s="1"/>
  <c r="BB75" i="22" s="1"/>
  <c r="BC75" i="22" s="1"/>
  <c r="AZ76" i="22"/>
  <c r="BA76" i="22" s="1"/>
  <c r="BB76" i="22" s="1"/>
  <c r="BC76" i="22" s="1"/>
  <c r="AZ77" i="22"/>
  <c r="BA77" i="22" s="1"/>
  <c r="BB77" i="22" s="1"/>
  <c r="BC77" i="22" s="1"/>
  <c r="AZ78" i="22"/>
  <c r="BA78" i="22" s="1"/>
  <c r="BB78" i="22" s="1"/>
  <c r="BC78" i="22" s="1"/>
  <c r="AZ79" i="22"/>
  <c r="BA79" i="22" s="1"/>
  <c r="BB79" i="22" s="1"/>
  <c r="BC79" i="22" s="1"/>
  <c r="AZ80" i="22"/>
  <c r="BA80" i="22" s="1"/>
  <c r="BB80" i="22" s="1"/>
  <c r="BC80" i="22" s="1"/>
  <c r="AZ81" i="22"/>
  <c r="BA81" i="22" s="1"/>
  <c r="BB81" i="22" s="1"/>
  <c r="BC81" i="22" s="1"/>
  <c r="AZ82" i="22"/>
  <c r="BA82" i="22" s="1"/>
  <c r="BB82" i="22" s="1"/>
  <c r="BC82" i="22" s="1"/>
  <c r="AZ83" i="22"/>
  <c r="BA83" i="22" s="1"/>
  <c r="BB83" i="22" s="1"/>
  <c r="BC83" i="22" s="1"/>
  <c r="AZ84" i="22"/>
  <c r="BA84" i="22" s="1"/>
  <c r="BB84" i="22" s="1"/>
  <c r="BC84" i="22" s="1"/>
  <c r="AZ85" i="22"/>
  <c r="BA85" i="22" s="1"/>
  <c r="BB85" i="22" s="1"/>
  <c r="BC85" i="22" s="1"/>
  <c r="AZ86" i="22"/>
  <c r="BA86" i="22" s="1"/>
  <c r="BB86" i="22" s="1"/>
  <c r="BC86" i="22" s="1"/>
  <c r="AZ87" i="22"/>
  <c r="BA87" i="22" s="1"/>
  <c r="BB87" i="22" s="1"/>
  <c r="BC87" i="22" s="1"/>
  <c r="AZ88" i="22"/>
  <c r="BA88" i="22" s="1"/>
  <c r="BB88" i="22" s="1"/>
  <c r="BC88" i="22" s="1"/>
  <c r="AZ89" i="22"/>
  <c r="BA89" i="22" s="1"/>
  <c r="BB89" i="22" s="1"/>
  <c r="BC89" i="22" s="1"/>
  <c r="AZ90" i="22"/>
  <c r="BA90" i="22" s="1"/>
  <c r="BB90" i="22" s="1"/>
  <c r="BC90" i="22" s="1"/>
  <c r="AZ91" i="22"/>
  <c r="BA91" i="22" s="1"/>
  <c r="BB91" i="22" s="1"/>
  <c r="BC91" i="22" s="1"/>
  <c r="AZ92" i="22"/>
  <c r="BA92" i="22" s="1"/>
  <c r="BB92" i="22" s="1"/>
  <c r="BC92" i="22" s="1"/>
  <c r="AZ93" i="22"/>
  <c r="BA93" i="22" s="1"/>
  <c r="BB93" i="22" s="1"/>
  <c r="BC93" i="22" s="1"/>
  <c r="AZ94" i="22"/>
  <c r="BA94" i="22" s="1"/>
  <c r="BB94" i="22" s="1"/>
  <c r="BC94" i="22" s="1"/>
  <c r="AZ95" i="22"/>
  <c r="BA95" i="22" s="1"/>
  <c r="BB95" i="22" s="1"/>
  <c r="BC95" i="22" s="1"/>
  <c r="AZ96" i="22"/>
  <c r="BA96" i="22" s="1"/>
  <c r="BB96" i="22" s="1"/>
  <c r="BC96" i="22" s="1"/>
  <c r="AZ97" i="22"/>
  <c r="BA97" i="22" s="1"/>
  <c r="BB97" i="22" s="1"/>
  <c r="BC97" i="22" s="1"/>
  <c r="AZ98" i="22"/>
  <c r="BA98" i="22" s="1"/>
  <c r="BB98" i="22" s="1"/>
  <c r="BC98" i="22" s="1"/>
  <c r="AZ99" i="22"/>
  <c r="BA99" i="22" s="1"/>
  <c r="BB99" i="22" s="1"/>
  <c r="BC99" i="22" s="1"/>
  <c r="AZ100" i="22"/>
  <c r="BA100" i="22" s="1"/>
  <c r="BB100" i="22" s="1"/>
  <c r="BC100" i="22" s="1"/>
  <c r="AZ101" i="22"/>
  <c r="BA101" i="22" s="1"/>
  <c r="BB101" i="22" s="1"/>
  <c r="BC101" i="22" s="1"/>
  <c r="AZ102" i="22"/>
  <c r="BA102" i="22" s="1"/>
  <c r="BB102" i="22" s="1"/>
  <c r="BC102" i="22" s="1"/>
  <c r="AZ103" i="22"/>
  <c r="BA103" i="22" s="1"/>
  <c r="BB103" i="22" s="1"/>
  <c r="BC103" i="22" s="1"/>
  <c r="AZ104" i="22"/>
  <c r="BA104" i="22" s="1"/>
  <c r="BB104" i="22" s="1"/>
  <c r="BC104" i="22" s="1"/>
  <c r="AZ105" i="22"/>
  <c r="BA105" i="22" s="1"/>
  <c r="BB105" i="22" s="1"/>
  <c r="BC105" i="22" s="1"/>
  <c r="AZ106" i="22"/>
  <c r="BA106" i="22" s="1"/>
  <c r="BB106" i="22" s="1"/>
  <c r="BC106" i="22" s="1"/>
  <c r="AZ107" i="22"/>
  <c r="BA107" i="22" s="1"/>
  <c r="BB107" i="22" s="1"/>
  <c r="BC107" i="22" s="1"/>
  <c r="AZ108" i="22"/>
  <c r="BA108" i="22" s="1"/>
  <c r="BB108" i="22" s="1"/>
  <c r="BC108" i="22" s="1"/>
  <c r="AZ109" i="22"/>
  <c r="BA109" i="22" s="1"/>
  <c r="BB109" i="22" s="1"/>
  <c r="BC109" i="22" s="1"/>
  <c r="AZ110" i="22"/>
  <c r="BA110" i="22" s="1"/>
  <c r="BB110" i="22" s="1"/>
  <c r="BC110" i="22" s="1"/>
  <c r="AZ111" i="22"/>
  <c r="BA111" i="22" s="1"/>
  <c r="BB111" i="22" s="1"/>
  <c r="BC111" i="22" s="1"/>
  <c r="AZ112" i="22"/>
  <c r="BA112" i="22" s="1"/>
  <c r="BB112" i="22" s="1"/>
  <c r="BC112" i="22" s="1"/>
  <c r="AZ113" i="22"/>
  <c r="BA113" i="22" s="1"/>
  <c r="BB113" i="22" s="1"/>
  <c r="BC113" i="22" s="1"/>
  <c r="AZ114" i="22"/>
  <c r="BA114" i="22" s="1"/>
  <c r="BB114" i="22" s="1"/>
  <c r="BC114" i="22" s="1"/>
  <c r="AZ115" i="22"/>
  <c r="BA115" i="22" s="1"/>
  <c r="BB115" i="22" s="1"/>
  <c r="BC115" i="22" s="1"/>
  <c r="AZ116" i="22"/>
  <c r="BA116" i="22" s="1"/>
  <c r="BB116" i="22" s="1"/>
  <c r="BC116" i="22" s="1"/>
  <c r="AZ117" i="22"/>
  <c r="BA117" i="22" s="1"/>
  <c r="BB117" i="22" s="1"/>
  <c r="BC117" i="22" s="1"/>
  <c r="AZ118" i="22"/>
  <c r="BA118" i="22" s="1"/>
  <c r="BB118" i="22" s="1"/>
  <c r="BC118" i="22" s="1"/>
  <c r="AZ119" i="22"/>
  <c r="BA119" i="22" s="1"/>
  <c r="BB119" i="22" s="1"/>
  <c r="BC119" i="22" s="1"/>
  <c r="AZ120" i="22"/>
  <c r="BA120" i="22" s="1"/>
  <c r="BB120" i="22" s="1"/>
  <c r="BC120" i="22" s="1"/>
  <c r="AZ121" i="22"/>
  <c r="BA121" i="22" s="1"/>
  <c r="BB121" i="22" s="1"/>
  <c r="BC121" i="22" s="1"/>
  <c r="AS11" i="22"/>
  <c r="AS12" i="22" s="1"/>
  <c r="H72" i="22" l="1"/>
  <c r="H73" i="22" s="1"/>
  <c r="N22" i="22"/>
  <c r="P9" i="22"/>
  <c r="AG67" i="21"/>
  <c r="AH67" i="21"/>
  <c r="BA7" i="22"/>
  <c r="BB7" i="22" s="1"/>
  <c r="BC7" i="22" s="1"/>
  <c r="AS13" i="22"/>
  <c r="H77" i="22" l="1"/>
  <c r="H75" i="22"/>
  <c r="H74" i="22"/>
  <c r="H76" i="22"/>
  <c r="AS14" i="22"/>
  <c r="AS15" i="22" l="1"/>
  <c r="AS16" i="22" s="1"/>
  <c r="AS17" i="22" s="1"/>
  <c r="AS18" i="22" s="1"/>
  <c r="AX9" i="22" s="1"/>
  <c r="AP10" i="22"/>
  <c r="AU10" i="22" l="1"/>
  <c r="AX10" i="22" s="1" a="1"/>
  <c r="AX10" i="22" s="1"/>
  <c r="AM21" i="22"/>
  <c r="AP11" i="22"/>
  <c r="AM24" i="22" s="1"/>
  <c r="AP9" i="22"/>
  <c r="AM22" i="22" s="1"/>
  <c r="AO22" i="22"/>
  <c r="AP31" i="22" s="1"/>
  <c r="AO21" i="22"/>
  <c r="AP30" i="22" s="1"/>
  <c r="AU11" i="22" l="1"/>
  <c r="AP22" i="22"/>
  <c r="AP21" i="22"/>
  <c r="AM23" i="22" s="1"/>
  <c r="AM16" i="22" l="1"/>
  <c r="AM12" i="22"/>
  <c r="AN12" i="22" s="1"/>
  <c r="AS36" i="22"/>
  <c r="AS37" i="22" s="1"/>
  <c r="AS38" i="22" s="1"/>
  <c r="AS41" i="22"/>
  <c r="AS42" i="22" s="1"/>
  <c r="AS43" i="22" s="1"/>
  <c r="AS31" i="22"/>
  <c r="AS32" i="22" s="1"/>
  <c r="AS33" i="22" s="1"/>
  <c r="AM13" i="22"/>
  <c r="AN13" i="22" s="1"/>
  <c r="AM25" i="22"/>
  <c r="AM15" i="22"/>
  <c r="AN15" i="22" s="1"/>
  <c r="AM14" i="22"/>
  <c r="AU12" i="22"/>
  <c r="AM10" i="22"/>
  <c r="AN10" i="22" s="1"/>
  <c r="E35" i="22"/>
  <c r="E36" i="22"/>
  <c r="I36" i="22" s="1"/>
  <c r="E37" i="22"/>
  <c r="I37" i="22" s="1"/>
  <c r="E38" i="22"/>
  <c r="E39" i="22"/>
  <c r="I40" i="22" l="1"/>
  <c r="AU13" i="22"/>
  <c r="AU14" i="22" s="1"/>
  <c r="AM18" i="22"/>
  <c r="AM19" i="22" s="1"/>
  <c r="AS34" i="22" l="1"/>
  <c r="AP14" i="22" s="1"/>
  <c r="AS39" i="22"/>
  <c r="AS29" i="22"/>
  <c r="AP15" i="22" s="1"/>
  <c r="AS44" i="22"/>
  <c r="K32" i="22" l="1"/>
  <c r="I35" i="22" l="1"/>
  <c r="K34" i="22"/>
  <c r="C71" i="22" s="1"/>
  <c r="L71" i="22" s="1"/>
  <c r="AP17" i="22"/>
  <c r="AP16" i="22"/>
  <c r="I38" i="22"/>
  <c r="I39" i="22" l="1"/>
  <c r="I34" i="22"/>
  <c r="G39" i="22"/>
  <c r="K39" i="22" s="1"/>
  <c r="C76" i="22" s="1"/>
  <c r="L76" i="22" s="1"/>
  <c r="G38" i="22"/>
  <c r="K38" i="22" s="1"/>
  <c r="C75" i="22" s="1"/>
  <c r="L75" i="22" s="1"/>
  <c r="G37" i="22"/>
  <c r="K37" i="22" s="1"/>
  <c r="C74" i="22" s="1"/>
  <c r="L74" i="22" s="1"/>
  <c r="G36" i="22"/>
  <c r="K36" i="22" s="1"/>
  <c r="C73" i="22" s="1"/>
  <c r="L73" i="22" s="1"/>
  <c r="G35" i="22"/>
  <c r="K35" i="22" s="1"/>
  <c r="C72" i="22" s="1"/>
  <c r="L72" i="22" s="1"/>
  <c r="E84" i="22" l="1"/>
  <c r="E83" i="22"/>
  <c r="I42" i="22"/>
  <c r="K43" i="22"/>
  <c r="G43" i="22" s="1"/>
  <c r="I43" i="22"/>
  <c r="E43" i="22" s="1"/>
  <c r="I44" i="22"/>
  <c r="E44" i="22" s="1"/>
  <c r="K44" i="22"/>
  <c r="G44" i="22" s="1"/>
  <c r="K40" i="22"/>
  <c r="C77" i="22" s="1"/>
  <c r="L77" i="22" s="1"/>
  <c r="E82" i="22" s="1"/>
  <c r="E79" i="22" l="1"/>
  <c r="F79" i="22" s="1"/>
  <c r="F82" i="22"/>
  <c r="E80" i="22"/>
  <c r="F80" i="22" s="1"/>
  <c r="F83" i="22"/>
  <c r="E81" i="22"/>
  <c r="F81" i="22" s="1"/>
  <c r="F84" i="22"/>
  <c r="E42" i="22"/>
  <c r="O14" i="22" s="1"/>
  <c r="O15" i="22"/>
  <c r="K42" i="22"/>
  <c r="AN16" i="22"/>
  <c r="AP25" i="22" s="1"/>
  <c r="AN14" i="22"/>
  <c r="AP24" i="22" s="1"/>
  <c r="H84" i="22" l="1"/>
  <c r="J84" i="22"/>
  <c r="L84" i="22" s="1"/>
  <c r="H81" i="22"/>
  <c r="J81" i="22"/>
  <c r="L81" i="22" s="1"/>
  <c r="H83" i="22"/>
  <c r="J83" i="22"/>
  <c r="L83" i="22" s="1"/>
  <c r="H80" i="22"/>
  <c r="J80" i="22"/>
  <c r="L80" i="22" s="1"/>
  <c r="H82" i="22"/>
  <c r="J82" i="22"/>
  <c r="L82" i="22" s="1"/>
  <c r="J79" i="22"/>
  <c r="L79" i="22" s="1"/>
  <c r="H79" i="22"/>
  <c r="O55" i="22"/>
  <c r="G42" i="22"/>
  <c r="O16" i="22" s="1"/>
  <c r="O17" i="22"/>
  <c r="O49" i="22"/>
  <c r="AP18" i="22"/>
  <c r="O59" i="22" l="1"/>
  <c r="O57" i="22"/>
  <c r="AP19" i="22"/>
  <c r="O53" i="22" l="1"/>
  <c r="O51" i="22"/>
  <c r="I45" i="22"/>
  <c r="E45" i="22" s="1"/>
  <c r="K45" i="22"/>
  <c r="G45" i="22" s="1"/>
</calcChain>
</file>

<file path=xl/sharedStrings.xml><?xml version="1.0" encoding="utf-8"?>
<sst xmlns="http://schemas.openxmlformats.org/spreadsheetml/2006/main" count="868" uniqueCount="468">
  <si>
    <t>Specifications</t>
  </si>
  <si>
    <t>INL</t>
  </si>
  <si>
    <t>INL Drift</t>
  </si>
  <si>
    <t>Worksheets</t>
  </si>
  <si>
    <t>Description</t>
  </si>
  <si>
    <t>Information about this tool</t>
  </si>
  <si>
    <t>Help</t>
  </si>
  <si>
    <t>Documentation and supporting links</t>
  </si>
  <si>
    <t>Table of Contents</t>
  </si>
  <si>
    <t>#</t>
  </si>
  <si>
    <t>Link:</t>
  </si>
  <si>
    <t>AMC1302:</t>
  </si>
  <si>
    <t>Document Description</t>
  </si>
  <si>
    <t>AMC1300</t>
  </si>
  <si>
    <t>AMC1301</t>
  </si>
  <si>
    <t>AMC1302</t>
  </si>
  <si>
    <t>AMC1301-Q1</t>
  </si>
  <si>
    <t>Part</t>
  </si>
  <si>
    <t>Input Resistor (R4)</t>
  </si>
  <si>
    <t>Error Results</t>
  </si>
  <si>
    <t>Gain Error Max</t>
  </si>
  <si>
    <t>Gain Error Typ</t>
  </si>
  <si>
    <t>Typical Spec</t>
  </si>
  <si>
    <t>Maximum Spec</t>
  </si>
  <si>
    <t>Gain Drift Typ</t>
  </si>
  <si>
    <t>Gain Drift Max</t>
  </si>
  <si>
    <t>Offset Error Typ</t>
  </si>
  <si>
    <t>Offset Drift Max</t>
  </si>
  <si>
    <t>INL Typ</t>
  </si>
  <si>
    <t>Offset Error Max</t>
  </si>
  <si>
    <t>Offset Drift Typ</t>
  </si>
  <si>
    <t>INL Max</t>
  </si>
  <si>
    <t>INL Drift Typ</t>
  </si>
  <si>
    <t>INL Drift Max</t>
  </si>
  <si>
    <t>Single-Ended Input Resistance</t>
  </si>
  <si>
    <t>Bias Current</t>
  </si>
  <si>
    <t>±Input Voltage Range</t>
  </si>
  <si>
    <t>Legend</t>
  </si>
  <si>
    <t>Input =</t>
  </si>
  <si>
    <t>AMC1311</t>
  </si>
  <si>
    <t>AMC1311-Q1</t>
  </si>
  <si>
    <t>AMC3301</t>
  </si>
  <si>
    <t>Device Comparison</t>
  </si>
  <si>
    <t>AMC1301-Q1:</t>
  </si>
  <si>
    <t>AMC3301:</t>
  </si>
  <si>
    <t>Input Type</t>
  </si>
  <si>
    <t>Differential</t>
  </si>
  <si>
    <t>Single-Ended</t>
  </si>
  <si>
    <t>Select Configuration</t>
  </si>
  <si>
    <t>Select Device</t>
  </si>
  <si>
    <t>Configuration</t>
  </si>
  <si>
    <t>Image</t>
  </si>
  <si>
    <t>[Select Configuration]</t>
  </si>
  <si>
    <t>[Select Device]</t>
  </si>
  <si>
    <t>AMC1300-Q1</t>
  </si>
  <si>
    <t>Row Num</t>
  </si>
  <si>
    <t>Row Sel D</t>
  </si>
  <si>
    <t>Row Sel SE</t>
  </si>
  <si>
    <t>Sel D</t>
  </si>
  <si>
    <t>Sel SE</t>
  </si>
  <si>
    <t>Device_List_D</t>
  </si>
  <si>
    <t>Device_List_SE</t>
  </si>
  <si>
    <t>Device_List_N</t>
  </si>
  <si>
    <t>Sel N</t>
  </si>
  <si>
    <t>Row Sel N</t>
  </si>
  <si>
    <t>AMC1301S</t>
  </si>
  <si>
    <t>AMC1300B</t>
  </si>
  <si>
    <t>AMC1311B</t>
  </si>
  <si>
    <t>AMC1311B-Q1</t>
  </si>
  <si>
    <t>ISO224B</t>
  </si>
  <si>
    <t>ISO224A</t>
  </si>
  <si>
    <t>AMC1300/B:</t>
  </si>
  <si>
    <t>AMC1301/S:</t>
  </si>
  <si>
    <t>AMC1311/B:</t>
  </si>
  <si>
    <t>AMC1311/B-Q1:</t>
  </si>
  <si>
    <t>ISO224A/B:</t>
  </si>
  <si>
    <t>Temp Min</t>
  </si>
  <si>
    <t>Temp Max</t>
  </si>
  <si>
    <t>kideal</t>
  </si>
  <si>
    <t>Rule Check &gt;0</t>
  </si>
  <si>
    <t>Rin_min</t>
  </si>
  <si>
    <t>Rin_max</t>
  </si>
  <si>
    <t>Rin_nom</t>
  </si>
  <si>
    <t>kreal_max</t>
  </si>
  <si>
    <t>kreal_min</t>
  </si>
  <si>
    <t>Vin_FS_nominal</t>
  </si>
  <si>
    <t>GE_nom</t>
  </si>
  <si>
    <t>Vin_FS_min</t>
  </si>
  <si>
    <t>Vin_FS_max</t>
  </si>
  <si>
    <t>GE_maxRin</t>
  </si>
  <si>
    <t>GE_minRin</t>
  </si>
  <si>
    <t>kral_min+drift</t>
  </si>
  <si>
    <t>Vin_FS_n_Drift</t>
  </si>
  <si>
    <t>kreal_max+drift</t>
  </si>
  <si>
    <t>Vin_FS_m_Drift</t>
  </si>
  <si>
    <t>Differential Input Resistance</t>
  </si>
  <si>
    <t>AMC1302-Q1</t>
  </si>
  <si>
    <t>Gain</t>
  </si>
  <si>
    <t xml:space="preserve">All error terms are output referred. </t>
  </si>
  <si>
    <t>Comments</t>
  </si>
  <si>
    <t>Rdiv Current</t>
  </si>
  <si>
    <t>AMC Input Current</t>
  </si>
  <si>
    <t>N/A</t>
  </si>
  <si>
    <t>Offset error &amp; Offset drift multiplied by non-ideal gain</t>
  </si>
  <si>
    <t>Scaled</t>
  </si>
  <si>
    <t>R</t>
  </si>
  <si>
    <t>parallel combo</t>
  </si>
  <si>
    <t>voltage</t>
  </si>
  <si>
    <t>Rdiv SE current</t>
  </si>
  <si>
    <t>New FS input</t>
  </si>
  <si>
    <t>With R3'</t>
  </si>
  <si>
    <t>Kideal</t>
  </si>
  <si>
    <t>Output V</t>
  </si>
  <si>
    <t>R2</t>
  </si>
  <si>
    <t>R3</t>
  </si>
  <si>
    <t>R4</t>
  </si>
  <si>
    <t>R5</t>
  </si>
  <si>
    <t>R6</t>
  </si>
  <si>
    <t>R7</t>
  </si>
  <si>
    <t>R8</t>
  </si>
  <si>
    <t>R9</t>
  </si>
  <si>
    <t>R10</t>
  </si>
  <si>
    <t>CTRL+SHIFT+ENTER</t>
  </si>
  <si>
    <t>Find Resistor</t>
  </si>
  <si>
    <t>0</t>
  </si>
  <si>
    <t>Min</t>
  </si>
  <si>
    <t>Max</t>
  </si>
  <si>
    <t>max + drift</t>
  </si>
  <si>
    <t>min + drift</t>
  </si>
  <si>
    <t>SE_min</t>
  </si>
  <si>
    <t>SE_nom</t>
  </si>
  <si>
    <t>SE_Max</t>
  </si>
  <si>
    <t>Min+drift</t>
  </si>
  <si>
    <t>Max + drift</t>
  </si>
  <si>
    <t>kreal_nom</t>
  </si>
  <si>
    <t xml:space="preserve">Getting Started with this tool? </t>
  </si>
  <si>
    <t>RinDiff Drift over Temp</t>
  </si>
  <si>
    <t>RinDiff Tolerance</t>
  </si>
  <si>
    <t>RinSE Tolerance &amp; Drift</t>
  </si>
  <si>
    <t>Rfilt scaling (Vdrop,Rfilt)</t>
  </si>
  <si>
    <t>Attenuation Ratio</t>
  </si>
  <si>
    <t>Max Error</t>
  </si>
  <si>
    <t>Currents</t>
  </si>
  <si>
    <t>Input Voltage Calculations</t>
  </si>
  <si>
    <t>SE &amp; Wout R3'</t>
  </si>
  <si>
    <t>Value</t>
  </si>
  <si>
    <t>Result</t>
  </si>
  <si>
    <t>1. User enters:</t>
  </si>
  <si>
    <t>1. R3 value only gain</t>
  </si>
  <si>
    <t>1. Corresponding offset</t>
  </si>
  <si>
    <t>2. New desired Vin</t>
  </si>
  <si>
    <t>2. New R3 only gain</t>
  </si>
  <si>
    <t>2.New offset</t>
  </si>
  <si>
    <t>3. New desired Vin</t>
  </si>
  <si>
    <t>3. New R3 only gain</t>
  </si>
  <si>
    <t>4. Standard Resistor</t>
  </si>
  <si>
    <t>4. R3 Offset voltage</t>
  </si>
  <si>
    <t>No R3' 5 step estimation</t>
  </si>
  <si>
    <t>4. R3 || RinDiff</t>
  </si>
  <si>
    <t>4. Rdiv SE current</t>
  </si>
  <si>
    <t>4. Voltage only gain</t>
  </si>
  <si>
    <t>5. Vin; Vog+R3Offset</t>
  </si>
  <si>
    <t>Closest value</t>
  </si>
  <si>
    <t>R3 Calculation</t>
  </si>
  <si>
    <t>Gain Error</t>
  </si>
  <si>
    <t>Gain Drift</t>
  </si>
  <si>
    <t>Offset Error</t>
  </si>
  <si>
    <t>Offset Drift</t>
  </si>
  <si>
    <t>Mixed Error</t>
  </si>
  <si>
    <t>Vin check</t>
  </si>
  <si>
    <t xml:space="preserve">Warning = </t>
  </si>
  <si>
    <t>Error =</t>
  </si>
  <si>
    <t>RC Filter Resistance, RF</t>
  </si>
  <si>
    <t>RC Filter Resistance, CF</t>
  </si>
  <si>
    <t>RC Filter Cutoff Frequency</t>
  </si>
  <si>
    <t>Variation of input bias current and external resistor temperature drift is not accounted for.</t>
  </si>
  <si>
    <t>krealideal</t>
  </si>
  <si>
    <t>AMC1211-Q1</t>
  </si>
  <si>
    <t>AMC3301-Q1</t>
  </si>
  <si>
    <t>AMC3330-Q1</t>
  </si>
  <si>
    <t>AMC3302</t>
  </si>
  <si>
    <t>AMC1300B-Q1</t>
  </si>
  <si>
    <r>
      <rPr>
        <u/>
        <sz val="10"/>
        <rFont val="Arial"/>
        <family val="2"/>
      </rPr>
      <t xml:space="preserve">For any futher assistance on this tool, please post your question in the following forum - </t>
    </r>
    <r>
      <rPr>
        <b/>
        <u/>
        <sz val="10"/>
        <color theme="10"/>
        <rFont val="Arial"/>
        <family val="2"/>
      </rPr>
      <t>E2E Precision Data Converters Forum</t>
    </r>
  </si>
  <si>
    <t>License</t>
  </si>
  <si>
    <t>Note: if no maximum specification is given in the datasheet, the maximum value is estimated at 3x the typical value. If no typical is given, the typical value is estimated at 1/3x the maximum.</t>
  </si>
  <si>
    <t>AMC3330</t>
  </si>
  <si>
    <t>AMC3302-Q1</t>
  </si>
  <si>
    <t>AMC1202</t>
  </si>
  <si>
    <t>AMC1411</t>
  </si>
  <si>
    <t>AMC1400</t>
  </si>
  <si>
    <t>AMC1350</t>
  </si>
  <si>
    <t>AMC1351</t>
  </si>
  <si>
    <t>Current Sensing Calculator</t>
  </si>
  <si>
    <t>AMC1302-Q1:</t>
  </si>
  <si>
    <t>AMC3301-Q1:</t>
  </si>
  <si>
    <t>AMC3330:</t>
  </si>
  <si>
    <t>AMC3330-Q1:</t>
  </si>
  <si>
    <t>AMC1300B-Q1:</t>
  </si>
  <si>
    <t>AMC3302:</t>
  </si>
  <si>
    <t>AMC1411:</t>
  </si>
  <si>
    <t>AMC3302-Q1:</t>
  </si>
  <si>
    <t>AMC1400:</t>
  </si>
  <si>
    <t>http://www.ti.com/lit/gpn/AMC1300B-Q1</t>
  </si>
  <si>
    <t>http://www.ti.com/lit/gpn/AMC1301</t>
  </si>
  <si>
    <t>http://www.ti.com/lit/gpn/AMC1301-Q1</t>
  </si>
  <si>
    <t>http://www.ti.com/lit/gpn/AMC1302</t>
  </si>
  <si>
    <t>http://www.ti.com/lit/gpn/AMC1302-Q1</t>
  </si>
  <si>
    <t>http://www.ti.com/lit/gpn/AMC3301</t>
  </si>
  <si>
    <t>http://www.ti.com/lit/gpn/AMC3301-Q1</t>
  </si>
  <si>
    <t>http://www.ti.com/lit/gpn/AMC3302</t>
  </si>
  <si>
    <t>http://www.ti.com/lit/gpn/AMC1400</t>
  </si>
  <si>
    <t>http://www.ti.com/lit/gpn/AMC1411</t>
  </si>
  <si>
    <t>http://www.ti.com/lit/gpn/AMC3302-Q1</t>
  </si>
  <si>
    <t>http://www.ti.com/lit/gpn/AMC1202</t>
  </si>
  <si>
    <t>http://www.ti.com/lit/gpn/AMC1350</t>
  </si>
  <si>
    <t>http://www.ti.com/lit/gpn/AMC1351</t>
  </si>
  <si>
    <t>http://www.ti.com/lit/gpn/ISO224</t>
  </si>
  <si>
    <t>http://www.ti.com/lit/gpn/AMC1300</t>
  </si>
  <si>
    <t>http://www.ti.com/lit/gpn/AMC1311</t>
  </si>
  <si>
    <t>http://www.ti.com/lit/gpn/AMC1311-Q1</t>
  </si>
  <si>
    <t>http://www.ti.com/lit/gpn/AMC3330</t>
  </si>
  <si>
    <t>http://www.ti.com/lit/gpn/AMC3330-Q1</t>
  </si>
  <si>
    <t>Device</t>
  </si>
  <si>
    <t>Datasheet:</t>
  </si>
  <si>
    <t>Integrated DC/DC</t>
  </si>
  <si>
    <t>± Input voltage range</t>
  </si>
  <si>
    <t>Isolation Rating</t>
  </si>
  <si>
    <t>YES</t>
  </si>
  <si>
    <t>± 250mV</t>
  </si>
  <si>
    <t>± 50mV</t>
  </si>
  <si>
    <t>0 - 2V</t>
  </si>
  <si>
    <t>± 1V</t>
  </si>
  <si>
    <t>± 5V</t>
  </si>
  <si>
    <t>0 - 5V</t>
  </si>
  <si>
    <t>± 12V</t>
  </si>
  <si>
    <t>Reinforced</t>
  </si>
  <si>
    <t>Basic</t>
  </si>
  <si>
    <t>Current</t>
  </si>
  <si>
    <t>Sensing Application</t>
  </si>
  <si>
    <t>Voltage</t>
  </si>
  <si>
    <t>14mm Package</t>
  </si>
  <si>
    <t>Selected Shunt Rated Wattage</t>
  </si>
  <si>
    <t>*For continuous operation, it is recommended that shunts are not run at more than two-thirds (2/3) the rated current under normal conditions of use as per IEEE standards.</t>
  </si>
  <si>
    <t>2. Reference the product datasheet, found at the URLs below, for information about the particular device.</t>
  </si>
  <si>
    <t>3. Go to the Table of Contents for tool descriptions and links to specific worksheets.</t>
  </si>
  <si>
    <t>4. Use the "Legend" on each worksheet for guidance. The required inputs and calculated results typically follow the convention below:</t>
  </si>
  <si>
    <t>https://www.ti.com/lit/slyt810</t>
  </si>
  <si>
    <t>Automotive</t>
  </si>
  <si>
    <t>This document provides estimates of the errors associated with using isolation amplifier devices in a current sensing configuration.</t>
  </si>
  <si>
    <t>Calculates a series of error values using an isolation amplifier for a current sense circuit in various configurations</t>
  </si>
  <si>
    <t>Compares the datasheet specifications of isolation amplifiers that can be used for current sensing</t>
  </si>
  <si>
    <t>Shunt Resistance</t>
  </si>
  <si>
    <t xml:space="preserve">+FS Input= </t>
  </si>
  <si>
    <t xml:space="preserve">+FS Output= </t>
  </si>
  <si>
    <t>Maximum Current</t>
  </si>
  <si>
    <t>Shunt Rated Current</t>
  </si>
  <si>
    <t>Ambient Temperature Minimum</t>
  </si>
  <si>
    <t>Ambient Temperature Maximum</t>
  </si>
  <si>
    <t>Shunt Rated Voltage</t>
  </si>
  <si>
    <t>Shunt Max Operating Temperature</t>
  </si>
  <si>
    <t>User Inputs for Accuracy Calculation</t>
  </si>
  <si>
    <t>Optional User Inputs for Shunt Rating Calculations</t>
  </si>
  <si>
    <t>Recommended Max Continuous Current* @25°C</t>
  </si>
  <si>
    <t>±Output Voltage Range</t>
  </si>
  <si>
    <t>2.05 V</t>
  </si>
  <si>
    <t>Typical Error (mV)</t>
  </si>
  <si>
    <t>Maximum Error (mV)</t>
  </si>
  <si>
    <t>Root-sum-square (RSS)</t>
  </si>
  <si>
    <t>Total Error</t>
  </si>
  <si>
    <t>Worst-Case Error (mV)</t>
  </si>
  <si>
    <t>Total Error after offset and 2-point gain calibration</t>
  </si>
  <si>
    <t>Total Error after offset and 2-point gain cal over temperature</t>
  </si>
  <si>
    <t>Typical Error (%FSR)</t>
  </si>
  <si>
    <t>2 V</t>
  </si>
  <si>
    <t xml:space="preserve"> 2 V</t>
  </si>
  <si>
    <t>2.49 V</t>
  </si>
  <si>
    <t>0.2-4.8 V</t>
  </si>
  <si>
    <r>
      <rPr>
        <sz val="11"/>
        <color theme="1"/>
        <rFont val="Calibri"/>
        <family val="2"/>
      </rPr>
      <t>±</t>
    </r>
    <r>
      <rPr>
        <sz val="11"/>
        <color theme="1"/>
        <rFont val="Calibri"/>
        <family val="2"/>
        <scheme val="minor"/>
      </rPr>
      <t xml:space="preserve">Input Voltage Range by Datasheet Specification = </t>
    </r>
  </si>
  <si>
    <r>
      <rPr>
        <sz val="11"/>
        <color theme="1"/>
        <rFont val="Calibri"/>
        <family val="2"/>
      </rPr>
      <t>±Out</t>
    </r>
    <r>
      <rPr>
        <sz val="11"/>
        <color theme="1"/>
        <rFont val="Calibri"/>
        <family val="2"/>
        <scheme val="minor"/>
      </rPr>
      <t xml:space="preserve">put Voltage Range by Datasheet Specification = </t>
    </r>
  </si>
  <si>
    <t>Worst-Case Drift from -40°C to 125°C</t>
  </si>
  <si>
    <t>Worst-Case Drift from -40°C to 125°C, Worst Case = 3 * Typical if no max in datasheet</t>
  </si>
  <si>
    <t>Shunt Resistor Tolerance</t>
  </si>
  <si>
    <t>Shunt Resistor Drift</t>
  </si>
  <si>
    <t>OPA Input Offset</t>
  </si>
  <si>
    <t>OPA Offset Drift</t>
  </si>
  <si>
    <t>OPA Rf/Rg Tolerance</t>
  </si>
  <si>
    <t>Rf</t>
  </si>
  <si>
    <t>Rg</t>
  </si>
  <si>
    <t>Output of AMC</t>
  </si>
  <si>
    <t>Output of Op Amp</t>
  </si>
  <si>
    <t>1+2+3 (RSS)</t>
  </si>
  <si>
    <t>Worst Case Differential to Single-Ended Error PPM</t>
  </si>
  <si>
    <t>Worst-Case Total Error</t>
  </si>
  <si>
    <t>Worst-Case Total Error after offset calibration</t>
  </si>
  <si>
    <t>Worst-Case Total Error after offset and 2-point gain calibration</t>
  </si>
  <si>
    <t>Typical Total Error</t>
  </si>
  <si>
    <t>Typical Total Error after offset calibration</t>
  </si>
  <si>
    <t>Typical Total Error after offset and 2-point gain calibration</t>
  </si>
  <si>
    <t>Error %FSR</t>
  </si>
  <si>
    <t>A Error @Input</t>
  </si>
  <si>
    <t>Worst-Case Error (%FSR)</t>
  </si>
  <si>
    <t>Worst Case Shunt Error PPM</t>
  </si>
  <si>
    <t>AMC Error PPM</t>
  </si>
  <si>
    <t>mV Error</t>
  </si>
  <si>
    <t>Total Error PPM</t>
  </si>
  <si>
    <t>User Inputs for Dif. to SE Conversion</t>
  </si>
  <si>
    <t>User Inputs</t>
  </si>
  <si>
    <t>1)</t>
  </si>
  <si>
    <t>AMC devices</t>
  </si>
  <si>
    <t>Output options</t>
  </si>
  <si>
    <t>Maximum current system will detect</t>
  </si>
  <si>
    <t>Minimum temperature of environment</t>
  </si>
  <si>
    <t>Maximum temperature of environment</t>
  </si>
  <si>
    <r>
      <t xml:space="preserve">Resistor value of input filter (typ. 10 </t>
    </r>
    <r>
      <rPr>
        <sz val="11"/>
        <color theme="1"/>
        <rFont val="Calibri"/>
        <family val="2"/>
      </rPr>
      <t>Ω)</t>
    </r>
  </si>
  <si>
    <t>Capacitor value of input filter (typ 10 nF)</t>
  </si>
  <si>
    <t>2)</t>
  </si>
  <si>
    <r>
      <t>Shunt Power Dissipated at 25</t>
    </r>
    <r>
      <rPr>
        <sz val="11"/>
        <color theme="1"/>
        <rFont val="Calibri"/>
        <family val="2"/>
      </rPr>
      <t>°C</t>
    </r>
    <r>
      <rPr>
        <sz val="11"/>
        <color theme="1"/>
        <rFont val="Calibri"/>
        <family val="2"/>
        <scheme val="minor"/>
      </rPr>
      <t xml:space="preserve"> </t>
    </r>
    <r>
      <rPr>
        <i/>
        <sz val="11"/>
        <color theme="1"/>
        <rFont val="Calibri"/>
        <family val="2"/>
        <scheme val="minor"/>
      </rPr>
      <t>Maximum Current</t>
    </r>
  </si>
  <si>
    <t>Power dissipated across shunt resistor at room temperature</t>
  </si>
  <si>
    <t>Cutoff filter value from input filter</t>
  </si>
  <si>
    <t xml:space="preserve">3) </t>
  </si>
  <si>
    <t xml:space="preserve">Power shunt resistor can dissipate as heat before affecting performace </t>
  </si>
  <si>
    <t>Maximum temperature shunt resistor can withstand before affecting performance (must be &gt; Ambient Temperature Minimum)</t>
  </si>
  <si>
    <t>4)</t>
  </si>
  <si>
    <t>Recommended Max Continuous Current* @125°C</t>
  </si>
  <si>
    <t xml:space="preserve">User Inputs Results </t>
  </si>
  <si>
    <t>Optional User Inputs for Shunt Rating Calculations Results</t>
  </si>
  <si>
    <t>Shunt voltage results</t>
  </si>
  <si>
    <t>Shunt current results</t>
  </si>
  <si>
    <t>Recommended current at room temperature based on selected shunt resistor configuration</t>
  </si>
  <si>
    <t>Recommended current at 125°C based on selected shunt resistor configuration</t>
  </si>
  <si>
    <t xml:space="preserve">5) </t>
  </si>
  <si>
    <t>Difference between ideal voltage and actual voltage output</t>
  </si>
  <si>
    <t>How gain error changes over temperature</t>
  </si>
  <si>
    <t>Difference between ideal offset to actual offset</t>
  </si>
  <si>
    <t>How offset error changes over temperature</t>
  </si>
  <si>
    <t xml:space="preserve">Integral Non Linearity - deviation of the actual transfer function with respect to ideal transfer function </t>
  </si>
  <si>
    <t>Data Sheet typical and maximum values listed &amp; translated to mV</t>
  </si>
  <si>
    <t>6)</t>
  </si>
  <si>
    <t>Total Error after offset calibration</t>
  </si>
  <si>
    <t>Total Error after offset and 2-point gain calibration over temperature</t>
  </si>
  <si>
    <t>Error calculated cutput preferred typical and maximum values, listed as a percentage of full-scale range &amp; translated to mV</t>
  </si>
  <si>
    <t>Error if calibrate offset</t>
  </si>
  <si>
    <t>Error if calibrate offset twice</t>
  </si>
  <si>
    <t>Error if calibrate offset twice over temperaure (should have best results)</t>
  </si>
  <si>
    <t>Final Result! Error of device &amp; user inputs only</t>
  </si>
  <si>
    <t xml:space="preserve">Current Sensing Calculator directions and results explanations. </t>
  </si>
  <si>
    <t>Differential to single-ended conversion directions and results explanations.</t>
  </si>
  <si>
    <t>Tolerance of op amp resistors selected</t>
  </si>
  <si>
    <t>How INL error changes over temperature</t>
  </si>
  <si>
    <r>
      <rPr>
        <b/>
        <sz val="11"/>
        <color theme="1"/>
        <rFont val="Calibri"/>
        <family val="2"/>
        <scheme val="minor"/>
      </rPr>
      <t xml:space="preserve">Error Results - </t>
    </r>
    <r>
      <rPr>
        <sz val="11"/>
        <color theme="1"/>
        <rFont val="Calibri"/>
        <family val="2"/>
        <scheme val="minor"/>
      </rPr>
      <t>Error of device with user inputs</t>
    </r>
  </si>
  <si>
    <r>
      <rPr>
        <b/>
        <sz val="11"/>
        <color theme="1"/>
        <rFont val="Calibri"/>
        <family val="2"/>
        <scheme val="minor"/>
      </rPr>
      <t xml:space="preserve">AMC Error PPM - </t>
    </r>
    <r>
      <rPr>
        <sz val="11"/>
        <color theme="1"/>
        <rFont val="Calibri"/>
        <family val="2"/>
        <scheme val="minor"/>
      </rPr>
      <t>Error from device over full-scale output in parts per million</t>
    </r>
  </si>
  <si>
    <t>3)</t>
  </si>
  <si>
    <r>
      <t xml:space="preserve">Worst Case Shunt Error PPM - </t>
    </r>
    <r>
      <rPr>
        <sz val="11"/>
        <color theme="1"/>
        <rFont val="Calibri"/>
        <family val="2"/>
        <scheme val="minor"/>
      </rPr>
      <t>Shunt resistor error in parts per million</t>
    </r>
  </si>
  <si>
    <t>Reference Specifications table above for definitions.</t>
  </si>
  <si>
    <t>Tolerance of shunt resistor translated to PPM</t>
  </si>
  <si>
    <t>How shunt resistor tolerance changes over temperature in PPM</t>
  </si>
  <si>
    <r>
      <t xml:space="preserve">Worst Case Differential to Single-Ended Error PPM - </t>
    </r>
    <r>
      <rPr>
        <sz val="11"/>
        <color theme="1"/>
        <rFont val="Calibri"/>
        <family val="2"/>
        <scheme val="minor"/>
      </rPr>
      <t>Error from Op Amp user inputs</t>
    </r>
  </si>
  <si>
    <t>Gain of Op Amp feedback resistors</t>
  </si>
  <si>
    <r>
      <t>Positive full-scale output of AMC in mV [</t>
    </r>
    <r>
      <rPr>
        <i/>
        <sz val="11"/>
        <color theme="1"/>
        <rFont val="Calibri"/>
        <family val="2"/>
        <scheme val="minor"/>
      </rPr>
      <t>Input of Op Amp</t>
    </r>
    <r>
      <rPr>
        <sz val="11"/>
        <color theme="1"/>
        <rFont val="Calibri"/>
        <family val="2"/>
        <scheme val="minor"/>
      </rPr>
      <t>]</t>
    </r>
  </si>
  <si>
    <t>Expected output of Op Amp based on previous two values</t>
  </si>
  <si>
    <t>Difference between ideal voltage and actual voltage output of Op Amp</t>
  </si>
  <si>
    <t>How gain error changes over temperature of Op Amp</t>
  </si>
  <si>
    <t>Difference between ideal offset to actual offset of Op Amp</t>
  </si>
  <si>
    <t>How offset error changes over temperature of Op Amp</t>
  </si>
  <si>
    <t>5)</t>
  </si>
  <si>
    <t>Differential to Single-Ended Conversion Error Results</t>
  </si>
  <si>
    <t>Device (1) + Shunt Resistor (2) + Op Amp (3) error results in typical/worst-case values:</t>
  </si>
  <si>
    <t>Root-sum-square error in PPM</t>
  </si>
  <si>
    <t>Reference Error Results table above for definitions</t>
  </si>
  <si>
    <t>Total Error percentage of full scale range</t>
  </si>
  <si>
    <t>mV Error @Input</t>
  </si>
  <si>
    <t>Error in mV of Op Amp</t>
  </si>
  <si>
    <t>Error in mV at input of device</t>
  </si>
  <si>
    <t>Error in A at input of device</t>
  </si>
  <si>
    <t>Shunt resistor value (R = V/I; V=max. input, I=max. current)</t>
  </si>
  <si>
    <t>Voltage required between two input terminals of selected op amp to have 0V output (from OPA data sheet)</t>
  </si>
  <si>
    <t>How OPA input offset changes over temperature (from OPA data sheet)</t>
  </si>
  <si>
    <t>Feedback resistor value (recommended value in device data sheet)</t>
  </si>
  <si>
    <t>Non inverting ground resistor value (recommended value in device data sheet)</t>
  </si>
  <si>
    <t>Final Result =</t>
  </si>
  <si>
    <t>Final Error Results</t>
  </si>
  <si>
    <t>Typical Total Error (PPM)</t>
  </si>
  <si>
    <t>Typical Total Error (%FSR)</t>
  </si>
  <si>
    <t>Worst-Case Total Error (PPM)</t>
  </si>
  <si>
    <t>Worst-Case Total Error (%FSR)</t>
  </si>
  <si>
    <t>Worst-Case Total Error (mV)</t>
  </si>
  <si>
    <t>Typical Total Error             (mV)</t>
  </si>
  <si>
    <t>Output Type</t>
  </si>
  <si>
    <t>Total Worst Case PPM Solution</t>
  </si>
  <si>
    <r>
      <t xml:space="preserve">Total Worst Case PPM Solutions - </t>
    </r>
    <r>
      <rPr>
        <sz val="11"/>
        <color theme="1"/>
        <rFont val="Calibri"/>
        <family val="2"/>
        <scheme val="minor"/>
      </rPr>
      <t>Section 1 + 2 + 3; root-sum-square</t>
    </r>
  </si>
  <si>
    <t>Intermediary Result</t>
  </si>
  <si>
    <t>'Intermediary Result =</t>
  </si>
  <si>
    <t>http://www.ti.com/lit/gpn/AMC1211-q1</t>
  </si>
  <si>
    <t>5. Go to the Directions tab for descriptions of each cell in the Voltage Sensing Calculator</t>
  </si>
  <si>
    <t xml:space="preserve">Link: </t>
  </si>
  <si>
    <t>Directions</t>
  </si>
  <si>
    <r>
      <rPr>
        <u/>
        <sz val="10"/>
        <rFont val="Arial"/>
        <family val="2"/>
      </rPr>
      <t xml:space="preserve">For any futher assistance on this tool, please post your question in the following forum - </t>
    </r>
    <r>
      <rPr>
        <u/>
        <sz val="10"/>
        <color theme="10"/>
        <rFont val="Arial"/>
        <family val="2"/>
      </rPr>
      <t>E2E Precision Data Converters Forum</t>
    </r>
  </si>
  <si>
    <t>Definitions and descriptions of calculator parameters and results</t>
  </si>
  <si>
    <t>Reference Offset Voltage Drift</t>
  </si>
  <si>
    <t>Reference Input Offset Voltage</t>
  </si>
  <si>
    <t>Calculated input offset as per drawn circuit due to OPA offset, offset drift, Rf/Rg tolerance, Rf/Rg drift, assuming 5V supply and 2.5V common-mode output</t>
  </si>
  <si>
    <t>How reference input offset voltage changes over temperature</t>
  </si>
  <si>
    <t>Input Configuration</t>
  </si>
  <si>
    <t>AMC0311D</t>
  </si>
  <si>
    <t>AMC0311D-Q1</t>
  </si>
  <si>
    <t>AMC0311S</t>
  </si>
  <si>
    <t>AMC0311S-Q1</t>
  </si>
  <si>
    <t>Ratiometric</t>
  </si>
  <si>
    <t>AMC0311R-Q1 (Vref = 3.3V)</t>
  </si>
  <si>
    <t>AMC0311R-Q1 (Vref = 5V)</t>
  </si>
  <si>
    <t>0-2V</t>
  </si>
  <si>
    <t>http://www.ti.com/lit/gpn/AMC0311D</t>
  </si>
  <si>
    <t>http://www.ti.com/lit/gpn/AMC0311D-Q1</t>
  </si>
  <si>
    <t>0-2.25V</t>
  </si>
  <si>
    <t>http://www.ti.com/lit/gpn/AMC0311R-Q1</t>
  </si>
  <si>
    <t>http://www.ti.com/lit/gpn/AMC0311S</t>
  </si>
  <si>
    <t>http://www.ti.com/lit/gpn/AMC0311S-Q1</t>
  </si>
  <si>
    <t>AMC0211D</t>
  </si>
  <si>
    <t>AMC0211D-Q1</t>
  </si>
  <si>
    <t>AMC0211R-Q1 (Vref = 3.3V)</t>
  </si>
  <si>
    <t>AMC0211R-Q1 (Vref = 5V)</t>
  </si>
  <si>
    <t>AMC0211S</t>
  </si>
  <si>
    <t>AMC0211S-Q1</t>
  </si>
  <si>
    <t>AMC0200D</t>
  </si>
  <si>
    <t>AMC0300D</t>
  </si>
  <si>
    <t>AMC0200D-Q1</t>
  </si>
  <si>
    <t>AMC0300D-Q1</t>
  </si>
  <si>
    <t>AMC0300R (Vref = 3.3V)</t>
  </si>
  <si>
    <t>AMC0200R (Vref = 3.3V)</t>
  </si>
  <si>
    <t>AMC0200R-Q1 (Vref = 3.3V)</t>
  </si>
  <si>
    <t>AMC0300R-Q1 (Vref = 3.3V)</t>
  </si>
  <si>
    <t>AMC0200R (Vref = 5V)</t>
  </si>
  <si>
    <t>AMC0200R-Q1 (Vref = 5V)</t>
  </si>
  <si>
    <t>AMC0300R (Vref = 5V)</t>
  </si>
  <si>
    <t>AMC0300R-Q1 (Vref = 5V)</t>
  </si>
  <si>
    <t>AMC0230R (Vref = 3.3V)</t>
  </si>
  <si>
    <t>AMC0230R-Q1 (Vref = 3.3V)</t>
  </si>
  <si>
    <t>AMC0330R (Vref = 3.3V)</t>
  </si>
  <si>
    <t>AMC0330R-Q1 (Vref = 3.3V)</t>
  </si>
  <si>
    <t>AMC0230R (Vref = 5V)</t>
  </si>
  <si>
    <t>AMC0230R-Q1 (Vref = 5V)</t>
  </si>
  <si>
    <t>AMC0330R (Vref = 5V)</t>
  </si>
  <si>
    <t>AMC0330R-Q1 (Vref = 5V)</t>
  </si>
  <si>
    <t>AMC0202D</t>
  </si>
  <si>
    <t>AMC0202D-Q1</t>
  </si>
  <si>
    <t>AMC0302D</t>
  </si>
  <si>
    <t>AMC0302D-Q1</t>
  </si>
  <si>
    <t>AMC0202R (Vref = 3.3V)</t>
  </si>
  <si>
    <t>AMC0202R-Q1 (Vref = 3.3V)</t>
  </si>
  <si>
    <t>AMC0302R (Vref = 3.3V)</t>
  </si>
  <si>
    <t>AMC0302R-Q1 (Vref = 3.3V)</t>
  </si>
  <si>
    <t>AMC0202R (Vref = 5V)</t>
  </si>
  <si>
    <t>AMC0202R-Q1 (Vref = 5V)</t>
  </si>
  <si>
    <t>AMC0302R (Vref = 5V)</t>
  </si>
  <si>
    <t>AMC0302R-Q1 (Vref = 5V)</t>
  </si>
  <si>
    <t>AMC0230D</t>
  </si>
  <si>
    <t>AMC0230D-Q1</t>
  </si>
  <si>
    <t>AMC0330D</t>
  </si>
  <si>
    <t>AMC0330D-Q1</t>
  </si>
  <si>
    <t>AMC0230S</t>
  </si>
  <si>
    <t>AMC0230S-Q1</t>
  </si>
  <si>
    <t>AMC0330S</t>
  </si>
  <si>
    <t>AMC0330S-Q1</t>
  </si>
  <si>
    <t>AMC1200C</t>
  </si>
  <si>
    <t>AMC0100R (Vref = 3.3V)</t>
  </si>
  <si>
    <t>AMC0100R (Vref = 5V)</t>
  </si>
  <si>
    <t>https://www.ti.com/lit/eb/slyy234/slyy234.pdf</t>
  </si>
  <si>
    <t>1. Please see these documents that help explain current sensing with isolated amplifiers: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</si>
</sst>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164" formatCode="0.000%"/>
    <numFmt numFmtId="165" formatCode="0\ &quot;ppm/°C&quot;"/>
    <numFmt numFmtId="166" formatCode="0.00\ &quot;mV&quot;"/>
    <numFmt numFmtId="167" formatCode="0.00\ &quot; µV/°C&quot;"/>
    <numFmt numFmtId="168" formatCode="0\ &quot;µA&quot;"/>
    <numFmt numFmtId="169" formatCode="0.000\ &quot;mV&quot;"/>
    <numFmt numFmtId="170" formatCode="0.0000\ &quot;V&quot;"/>
    <numFmt numFmtId="171" formatCode="#,##0\ &quot;Ω&quot;"/>
    <numFmt numFmtId="172" formatCode="0.000\ &quot;µA&quot;"/>
    <numFmt numFmtId="173" formatCode="0.0\ &quot;ppm/°C&quot;"/>
    <numFmt numFmtId="174" formatCode="#,##0\ &quot;mV&quot;"/>
    <numFmt numFmtId="175" formatCode="0\ &quot;°C&quot;"/>
    <numFmt numFmtId="176" formatCode="0.0000\ &quot;µA&quot;"/>
    <numFmt numFmtId="177" formatCode="#,##0.000\ &quot;Ω&quot;"/>
    <numFmt numFmtId="178" formatCode="0.000000000"/>
    <numFmt numFmtId="179" formatCode="#,###.00\ &quot;mV&quot;"/>
    <numFmt numFmtId="180" formatCode="#,###\ &quot;kHz&quot;"/>
    <numFmt numFmtId="181" formatCode="#,##0.0"/>
    <numFmt numFmtId="182" formatCode="#,###.00000\ &quot;mV&quot;"/>
    <numFmt numFmtId="183" formatCode="#,##0.0000\ &quot;mV&quot;"/>
    <numFmt numFmtId="184" formatCode="#,##0.0000000\ &quot;Ω&quot;"/>
    <numFmt numFmtId="185" formatCode="#,##0.0000000\ &quot;mV&quot;"/>
    <numFmt numFmtId="186" formatCode="#,##0.00000000\ &quot;mV&quot;"/>
    <numFmt numFmtId="187" formatCode="0.000\ &quot;nF&quot;"/>
    <numFmt numFmtId="188" formatCode="#,##0.00\ &quot;A&quot;"/>
    <numFmt numFmtId="189" formatCode="#,##0.00\ &quot;W&quot;"/>
    <numFmt numFmtId="190" formatCode="0\ &quot;mV&quot;"/>
    <numFmt numFmtId="191" formatCode="0.00\ &quot;V&quot;"/>
    <numFmt numFmtId="192" formatCode="#,##0.000\ &quot;mΩ&quot;"/>
    <numFmt numFmtId="193" formatCode="0.00\ &quot;W&quot;"/>
    <numFmt numFmtId="194" formatCode="##,##0.00\ &quot;mV&quot;"/>
    <numFmt numFmtId="195" formatCode="&quot;Shunt Power Dissipated 25°C at&quot;\ 0&quot;A&quot;"/>
    <numFmt numFmtId="196" formatCode="#,##0.0\ &quot;A&quot;"/>
    <numFmt numFmtId="197" formatCode="&quot;Recommended Max Continuous Current* @&quot;0&quot;°C&quot;"/>
    <numFmt numFmtId="198" formatCode="0.0000"/>
    <numFmt numFmtId="199" formatCode="0.0\ &quot;%&quot;"/>
    <numFmt numFmtId="200" formatCode="#,##0.0\ &quot;kΩ&quot;"/>
    <numFmt numFmtId="201" formatCode="0.000"/>
    <numFmt numFmtId="202" formatCode="0.00\ &quot;A&quot;"/>
    <numFmt numFmtId="203" formatCode="#,##0\ &quot;V&quot;"/>
  </numFmts>
  <fonts count="46">
    <font>
      <sz val="11"/>
      <color theme="1"/>
      <name val="Calibri"/>
      <family val="2"/>
      <scheme val="minor"/>
    </font>
    <font>
      <b/>
      <sz val="11"/>
      <color theme="1"/>
      <name val="Calibri"/>
      <family val="2"/>
      <scheme val="minor"/>
    </font>
    <font>
      <sz val="11"/>
      <color theme="1"/>
      <name val="Calibri"/>
      <family val="2"/>
    </font>
    <font>
      <b/>
      <sz val="11"/>
      <color theme="1"/>
      <name val="Arial"/>
      <family val="2"/>
    </font>
    <font>
      <u/>
      <sz val="11"/>
      <color theme="10"/>
      <name val="Calibri"/>
      <family val="2"/>
      <scheme val="minor"/>
    </font>
    <font>
      <u/>
      <sz val="11"/>
      <color theme="10"/>
      <name val="Arial"/>
      <family val="2"/>
    </font>
    <font>
      <sz val="11"/>
      <color theme="1"/>
      <name val="Arial"/>
      <family val="2"/>
    </font>
    <font>
      <sz val="10"/>
      <color theme="1"/>
      <name val="Arial"/>
      <family val="2"/>
    </font>
    <font>
      <b/>
      <u/>
      <sz val="10"/>
      <color theme="10"/>
      <name val="Arial"/>
      <family val="2"/>
    </font>
    <font>
      <b/>
      <sz val="10"/>
      <color theme="1"/>
      <name val="Arial"/>
      <family val="2"/>
    </font>
    <font>
      <b/>
      <sz val="14"/>
      <color theme="1"/>
      <name val="Calibri"/>
      <family val="2"/>
      <scheme val="minor"/>
    </font>
    <font>
      <sz val="11"/>
      <name val="Calibri"/>
      <family val="2"/>
      <scheme val="minor"/>
    </font>
    <font>
      <b/>
      <sz val="11"/>
      <color rgb="FFDE0000"/>
      <name val="Calibri"/>
      <family val="2"/>
      <scheme val="minor"/>
    </font>
    <font>
      <i/>
      <sz val="10"/>
      <color theme="1"/>
      <name val="Arial"/>
      <family val="2"/>
    </font>
    <font>
      <sz val="11"/>
      <color theme="0"/>
      <name val="Calibri"/>
      <family val="2"/>
      <scheme val="minor"/>
    </font>
    <font>
      <sz val="11"/>
      <color theme="1"/>
      <name val="Calibri"/>
      <family val="2"/>
      <scheme val="minor"/>
    </font>
    <font>
      <sz val="11"/>
      <color theme="1"/>
      <name val="Calibri"/>
      <family val="2"/>
    </font>
    <font>
      <sz val="36"/>
      <color theme="1"/>
      <name val="Calibri"/>
      <family val="2"/>
      <scheme val="minor"/>
    </font>
    <font>
      <sz val="6"/>
      <name val="Calibri"/>
      <family val="3"/>
      <charset val="128"/>
      <scheme val="minor"/>
    </font>
    <font>
      <b/>
      <sz val="11"/>
      <color theme="0"/>
      <name val="Calibri"/>
      <family val="2"/>
      <scheme val="minor"/>
    </font>
    <font>
      <sz val="14"/>
      <color rgb="FF464646"/>
      <name val="Arial"/>
      <family val="2"/>
    </font>
    <font>
      <sz val="14"/>
      <color rgb="FF464646"/>
      <name val="Arial"/>
      <family val="2"/>
    </font>
    <font>
      <sz val="7"/>
      <color rgb="FF000000"/>
      <name val="Verdana"/>
      <family val="2"/>
    </font>
    <font>
      <sz val="11"/>
      <color theme="1"/>
      <name val="Calibri"/>
      <family val="2"/>
      <scheme val="minor"/>
    </font>
    <font>
      <u/>
      <sz val="10"/>
      <color theme="10"/>
      <name val="Arial"/>
      <family val="2"/>
    </font>
    <font>
      <u/>
      <sz val="10"/>
      <name val="Arial"/>
      <family val="2"/>
    </font>
    <font>
      <b/>
      <sz val="10"/>
      <color theme="0"/>
      <name val="Arial"/>
      <family val="2"/>
    </font>
    <font>
      <b/>
      <sz val="11"/>
      <name val="Calibri"/>
      <family val="2"/>
      <scheme val="minor"/>
    </font>
    <font>
      <sz val="11"/>
      <color theme="1"/>
      <name val="Calibri"/>
      <family val="2"/>
      <scheme val="minor"/>
    </font>
    <font>
      <i/>
      <sz val="11"/>
      <color theme="1"/>
      <name val="Calibri"/>
      <family val="2"/>
      <scheme val="minor"/>
    </font>
    <font>
      <u/>
      <sz val="11"/>
      <color theme="1"/>
      <name val="Calibri"/>
      <family val="2"/>
      <scheme val="minor"/>
    </font>
    <font>
      <sz val="14"/>
      <color rgb="FF464646"/>
      <name val="Arial"/>
      <family val="2"/>
    </font>
    <font>
      <b/>
      <i/>
      <sz val="11"/>
      <color theme="1"/>
      <name val="Calibri"/>
      <family val="2"/>
      <scheme val="minor"/>
    </font>
    <font>
      <b/>
      <u/>
      <sz val="11"/>
      <color theme="1"/>
      <name val="Calibri"/>
      <family val="2"/>
      <scheme val="minor"/>
    </font>
    <font>
      <b/>
      <sz val="14"/>
      <color theme="0"/>
      <name val="Calibri"/>
      <family val="2"/>
      <scheme val="minor"/>
    </font>
    <font>
      <b/>
      <i/>
      <sz val="11"/>
      <name val="Calibri"/>
      <family val="2"/>
      <scheme val="minor"/>
    </font>
    <font>
      <b/>
      <sz val="10"/>
      <color rgb="FFFFFFFF"/>
      <name val="Arial"/>
      <family val="2"/>
    </font>
    <font>
      <sz val="10"/>
      <color theme="1"/>
      <name val="Calibri"/>
      <family val="2"/>
      <scheme val="minor"/>
    </font>
    <font>
      <sz val="11"/>
      <color theme="1"/>
      <name val="Calibri"/>
      <family val="2"/>
      <scheme val="minor"/>
    </font>
    <font>
      <sz val="11"/>
      <color theme="1"/>
      <name val="Calibri"/>
      <family val="2"/>
    </font>
    <font>
      <b/>
      <i/>
      <sz val="10"/>
      <color theme="1"/>
      <name val="Calibri"/>
      <family val="2"/>
      <scheme val="minor"/>
    </font>
    <font>
      <b/>
      <sz val="10"/>
      <name val="Arial"/>
      <family val="2"/>
    </font>
    <font>
      <sz val="10"/>
      <name val="Arial"/>
      <family val="2"/>
    </font>
    <font>
      <u/>
      <sz val="10"/>
      <color theme="10"/>
      <name val="Calibri"/>
      <family val="2"/>
      <scheme val="minor"/>
    </font>
    <font>
      <sz val="11"/>
      <color theme="1"/>
      <name val="Calibri"/>
      <scheme val="minor"/>
    </font>
    <font>
      <sz val="11"/>
      <color theme="1"/>
      <name val="Calibri"/>
    </font>
  </fonts>
  <fills count="14">
    <fill>
      <patternFill patternType="none"/>
    </fill>
    <fill>
      <patternFill patternType="gray125"/>
    </fill>
    <fill>
      <patternFill patternType="solid">
        <fgColor rgb="FFDE0000"/>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FFFF"/>
        <bgColor indexed="64"/>
      </patternFill>
    </fill>
    <fill>
      <patternFill patternType="solid">
        <fgColor theme="9" tint="0.39997558519241921"/>
        <bgColor indexed="64"/>
      </patternFill>
    </fill>
    <fill>
      <patternFill patternType="solid">
        <fgColor rgb="FFF7F7F7"/>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BDEEFF"/>
        <bgColor indexed="64"/>
      </patternFill>
    </fill>
    <fill>
      <patternFill patternType="solid">
        <fgColor rgb="FFFFFF00"/>
        <bgColor indexed="64"/>
      </patternFill>
    </fill>
    <fill>
      <patternFill patternType="solid">
        <fgColor theme="1" tint="0.14999847407452621"/>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right style="thin">
        <color indexed="64"/>
      </right>
      <top/>
      <bottom style="thin">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top style="medium">
        <color indexed="64"/>
      </top>
      <bottom/>
      <diagonal/>
    </border>
    <border>
      <left/>
      <right/>
      <top style="thin">
        <color auto="1"/>
      </top>
      <bottom style="thin">
        <color auto="1"/>
      </bottom>
      <diagonal/>
    </border>
    <border>
      <left/>
      <right style="medium">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right style="thin">
        <color indexed="64"/>
      </right>
      <top style="thin">
        <color auto="1"/>
      </top>
      <bottom style="thin">
        <color auto="1"/>
      </bottom>
      <diagonal/>
    </border>
    <border>
      <left/>
      <right/>
      <top style="thin">
        <color auto="1"/>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rgb="FFC0C0C9"/>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rgb="FFDDDDDD"/>
      </left>
      <right style="medium">
        <color rgb="FFDDDDDD"/>
      </right>
      <top style="medium">
        <color rgb="FFDDDDDD"/>
      </top>
      <bottom style="medium">
        <color rgb="FFDDDDDD"/>
      </bottom>
      <diagonal/>
    </border>
    <border>
      <left style="medium">
        <color rgb="FF999999"/>
      </left>
      <right style="medium">
        <color rgb="FFDDDDDD"/>
      </right>
      <top style="medium">
        <color rgb="FF999999"/>
      </top>
      <bottom style="medium">
        <color rgb="FFDDDDDD"/>
      </bottom>
      <diagonal/>
    </border>
    <border>
      <left style="medium">
        <color rgb="FFDDDDDD"/>
      </left>
      <right style="medium">
        <color rgb="FFDDDDDD"/>
      </right>
      <top style="medium">
        <color rgb="FF999999"/>
      </top>
      <bottom style="medium">
        <color rgb="FFDDDDDD"/>
      </bottom>
      <diagonal/>
    </border>
    <border>
      <left style="medium">
        <color rgb="FFDDDDDD"/>
      </left>
      <right style="medium">
        <color rgb="FF999999"/>
      </right>
      <top style="medium">
        <color rgb="FF999999"/>
      </top>
      <bottom style="medium">
        <color rgb="FFDDDDDD"/>
      </bottom>
      <diagonal/>
    </border>
    <border>
      <left style="medium">
        <color rgb="FF999999"/>
      </left>
      <right style="medium">
        <color rgb="FFDDDDDD"/>
      </right>
      <top style="medium">
        <color rgb="FFDDDDDD"/>
      </top>
      <bottom style="medium">
        <color rgb="FFDDDDDD"/>
      </bottom>
      <diagonal/>
    </border>
    <border>
      <left style="medium">
        <color rgb="FFDDDDDD"/>
      </left>
      <right style="medium">
        <color rgb="FF999999"/>
      </right>
      <top style="medium">
        <color rgb="FFDDDDDD"/>
      </top>
      <bottom style="medium">
        <color rgb="FFDDDDDD"/>
      </bottom>
      <diagonal/>
    </border>
    <border>
      <left style="medium">
        <color rgb="FF999999"/>
      </left>
      <right style="medium">
        <color rgb="FFDDDDDD"/>
      </right>
      <top style="medium">
        <color rgb="FFDDDDDD"/>
      </top>
      <bottom style="medium">
        <color rgb="FF999999"/>
      </bottom>
      <diagonal/>
    </border>
    <border>
      <left style="medium">
        <color rgb="FFDDDDDD"/>
      </left>
      <right style="medium">
        <color rgb="FFDDDDDD"/>
      </right>
      <top style="medium">
        <color rgb="FFDDDDDD"/>
      </top>
      <bottom style="medium">
        <color rgb="FF999999"/>
      </bottom>
      <diagonal/>
    </border>
    <border>
      <left style="medium">
        <color rgb="FFDDDDDD"/>
      </left>
      <right style="medium">
        <color rgb="FF999999"/>
      </right>
      <top style="medium">
        <color rgb="FFDDDDDD"/>
      </top>
      <bottom style="medium">
        <color rgb="FF999999"/>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0" fontId="4" fillId="0" borderId="0" applyNumberFormat="0" applyFill="0" applyBorder="0" applyAlignment="0" applyProtection="0"/>
    <xf numFmtId="0" fontId="23" fillId="0" borderId="0"/>
    <xf numFmtId="9" fontId="15" fillId="0" borderId="0" applyFont="0" applyFill="0" applyBorder="0" applyAlignment="0" applyProtection="0"/>
    <xf numFmtId="0" fontId="15" fillId="0" borderId="0"/>
  </cellStyleXfs>
  <cellXfs count="904">
    <xf numFmtId="0" fontId="0" fillId="0" borderId="0" xfId="0"/>
    <xf numFmtId="0" fontId="0" fillId="0" borderId="0" xfId="0" applyFill="1"/>
    <xf numFmtId="0" fontId="6" fillId="0" borderId="0" xfId="0" applyFont="1" applyFill="1"/>
    <xf numFmtId="0" fontId="0" fillId="0" borderId="0" xfId="0" applyBorder="1"/>
    <xf numFmtId="10" fontId="0" fillId="0" borderId="0" xfId="0" applyNumberFormat="1" applyFont="1" applyFill="1" applyBorder="1" applyAlignment="1">
      <alignment horizontal="center"/>
    </xf>
    <xf numFmtId="0" fontId="0" fillId="0" borderId="0" xfId="0" applyFont="1" applyFill="1" applyBorder="1" applyAlignment="1">
      <alignment horizontal="center"/>
    </xf>
    <xf numFmtId="0" fontId="0" fillId="0" borderId="0" xfId="0" applyBorder="1" applyAlignment="1">
      <alignment horizontal="center"/>
    </xf>
    <xf numFmtId="0" fontId="0" fillId="0" borderId="0" xfId="0" applyAlignment="1"/>
    <xf numFmtId="0" fontId="0" fillId="5" borderId="0" xfId="0" applyFill="1"/>
    <xf numFmtId="170" fontId="0" fillId="0" borderId="0" xfId="0" applyNumberFormat="1"/>
    <xf numFmtId="2" fontId="0" fillId="0" borderId="0" xfId="0" applyNumberFormat="1"/>
    <xf numFmtId="0" fontId="0" fillId="0" borderId="0" xfId="0"/>
    <xf numFmtId="0" fontId="0" fillId="0" borderId="0" xfId="0" applyFill="1" applyBorder="1"/>
    <xf numFmtId="0" fontId="0" fillId="0" borderId="19" xfId="0" applyBorder="1"/>
    <xf numFmtId="0" fontId="0" fillId="0" borderId="36" xfId="0" applyBorder="1"/>
    <xf numFmtId="0" fontId="0" fillId="0" borderId="23" xfId="0" applyBorder="1"/>
    <xf numFmtId="0" fontId="0" fillId="0" borderId="0" xfId="0"/>
    <xf numFmtId="0" fontId="0" fillId="0" borderId="0" xfId="0"/>
    <xf numFmtId="0" fontId="20" fillId="8" borderId="0" xfId="0" applyFont="1" applyFill="1" applyAlignment="1">
      <alignment horizontal="center" vertical="center" wrapText="1"/>
    </xf>
    <xf numFmtId="1" fontId="21" fillId="8" borderId="39" xfId="0" applyNumberFormat="1" applyFont="1" applyFill="1" applyBorder="1" applyAlignment="1">
      <alignment horizontal="center" vertical="center" wrapText="1"/>
    </xf>
    <xf numFmtId="0" fontId="20" fillId="8" borderId="0" xfId="0" applyNumberFormat="1" applyFont="1" applyFill="1" applyAlignment="1">
      <alignment horizontal="center" vertical="center" wrapText="1"/>
    </xf>
    <xf numFmtId="0" fontId="0" fillId="0" borderId="30" xfId="0" applyBorder="1"/>
    <xf numFmtId="0" fontId="0" fillId="0" borderId="22" xfId="0" applyBorder="1"/>
    <xf numFmtId="174" fontId="0" fillId="0" borderId="36" xfId="0" applyNumberFormat="1" applyBorder="1"/>
    <xf numFmtId="0" fontId="0" fillId="0" borderId="19" xfId="0" applyFill="1" applyBorder="1"/>
    <xf numFmtId="0" fontId="0" fillId="0" borderId="23" xfId="0" applyBorder="1" applyAlignment="1"/>
    <xf numFmtId="0" fontId="0" fillId="0" borderId="32" xfId="0" applyBorder="1"/>
    <xf numFmtId="0" fontId="0" fillId="0" borderId="0" xfId="0"/>
    <xf numFmtId="11" fontId="0" fillId="0" borderId="19" xfId="0" applyNumberFormat="1" applyBorder="1"/>
    <xf numFmtId="0" fontId="0" fillId="0" borderId="2" xfId="0" applyBorder="1"/>
    <xf numFmtId="0" fontId="0" fillId="0" borderId="41" xfId="0" applyBorder="1"/>
    <xf numFmtId="0" fontId="1" fillId="0" borderId="2" xfId="0" applyFont="1" applyBorder="1"/>
    <xf numFmtId="0" fontId="1" fillId="0" borderId="41" xfId="0" applyFont="1" applyBorder="1"/>
    <xf numFmtId="11" fontId="0" fillId="0" borderId="36" xfId="0" applyNumberFormat="1" applyBorder="1"/>
    <xf numFmtId="11" fontId="0" fillId="0" borderId="36" xfId="0" applyNumberFormat="1" applyFill="1" applyBorder="1"/>
    <xf numFmtId="11" fontId="0" fillId="0" borderId="19" xfId="0" applyNumberFormat="1" applyFill="1" applyBorder="1"/>
    <xf numFmtId="0" fontId="0" fillId="0" borderId="23" xfId="0" applyFill="1" applyBorder="1"/>
    <xf numFmtId="11" fontId="0" fillId="0" borderId="32" xfId="0" applyNumberFormat="1" applyFill="1" applyBorder="1"/>
    <xf numFmtId="11" fontId="0" fillId="0" borderId="23" xfId="0" applyNumberFormat="1" applyFill="1" applyBorder="1"/>
    <xf numFmtId="10" fontId="0" fillId="0" borderId="32" xfId="0" applyNumberFormat="1" applyFill="1" applyBorder="1"/>
    <xf numFmtId="178" fontId="0" fillId="0" borderId="32" xfId="0" applyNumberFormat="1" applyBorder="1"/>
    <xf numFmtId="174" fontId="0" fillId="0" borderId="0" xfId="0" applyNumberFormat="1" applyBorder="1"/>
    <xf numFmtId="0" fontId="0" fillId="0" borderId="23" xfId="0" quotePrefix="1" applyBorder="1"/>
    <xf numFmtId="0" fontId="0" fillId="0" borderId="38" xfId="0" applyBorder="1"/>
    <xf numFmtId="0" fontId="0" fillId="0" borderId="42" xfId="0" applyBorder="1"/>
    <xf numFmtId="0" fontId="1" fillId="7" borderId="40" xfId="0" applyFont="1" applyFill="1" applyBorder="1" applyAlignment="1">
      <alignment horizontal="center"/>
    </xf>
    <xf numFmtId="174" fontId="0" fillId="0" borderId="32" xfId="0" applyNumberFormat="1" applyBorder="1"/>
    <xf numFmtId="179" fontId="0" fillId="0" borderId="36" xfId="0" applyNumberFormat="1" applyBorder="1"/>
    <xf numFmtId="171" fontId="0" fillId="0" borderId="36" xfId="0" applyNumberFormat="1" applyBorder="1"/>
    <xf numFmtId="0" fontId="0" fillId="0" borderId="5" xfId="0" applyFill="1" applyBorder="1"/>
    <xf numFmtId="174" fontId="0" fillId="0" borderId="36" xfId="0" applyNumberFormat="1" applyBorder="1" applyAlignment="1"/>
    <xf numFmtId="10" fontId="11" fillId="0" borderId="36" xfId="0" applyNumberFormat="1" applyFont="1" applyFill="1" applyBorder="1"/>
    <xf numFmtId="0" fontId="22" fillId="6" borderId="44" xfId="0" applyFont="1" applyFill="1" applyBorder="1" applyAlignment="1">
      <alignment vertical="center" wrapText="1"/>
    </xf>
    <xf numFmtId="0" fontId="22" fillId="6" borderId="45" xfId="0" applyFont="1" applyFill="1" applyBorder="1" applyAlignment="1">
      <alignment vertical="center" wrapText="1"/>
    </xf>
    <xf numFmtId="0" fontId="22" fillId="6" borderId="46" xfId="0" applyFont="1" applyFill="1" applyBorder="1" applyAlignment="1">
      <alignment vertical="center" wrapText="1"/>
    </xf>
    <xf numFmtId="0" fontId="22" fillId="6" borderId="47" xfId="0" applyFont="1" applyFill="1" applyBorder="1" applyAlignment="1">
      <alignment vertical="center" wrapText="1"/>
    </xf>
    <xf numFmtId="0" fontId="22" fillId="6" borderId="48" xfId="0" applyFont="1" applyFill="1" applyBorder="1" applyAlignment="1">
      <alignment vertical="center" wrapText="1"/>
    </xf>
    <xf numFmtId="0" fontId="22" fillId="6" borderId="49" xfId="0" applyFont="1" applyFill="1" applyBorder="1" applyAlignment="1">
      <alignment vertical="center" wrapText="1"/>
    </xf>
    <xf numFmtId="0" fontId="22" fillId="6" borderId="50" xfId="0" applyFont="1" applyFill="1" applyBorder="1" applyAlignment="1">
      <alignment vertical="center" wrapText="1"/>
    </xf>
    <xf numFmtId="0" fontId="22" fillId="6" borderId="51" xfId="0" applyFont="1" applyFill="1" applyBorder="1" applyAlignment="1">
      <alignment vertical="center" wrapText="1"/>
    </xf>
    <xf numFmtId="0" fontId="22" fillId="6" borderId="52" xfId="0" applyFont="1" applyFill="1" applyBorder="1" applyAlignment="1">
      <alignment vertical="center" wrapText="1"/>
    </xf>
    <xf numFmtId="0" fontId="0" fillId="0" borderId="30" xfId="0" applyFill="1" applyBorder="1"/>
    <xf numFmtId="0" fontId="23" fillId="0" borderId="0" xfId="2"/>
    <xf numFmtId="0" fontId="7" fillId="0" borderId="0" xfId="2" applyFont="1" applyFill="1"/>
    <xf numFmtId="0" fontId="7" fillId="0" borderId="0" xfId="2" applyFont="1" applyFill="1" applyAlignment="1"/>
    <xf numFmtId="0" fontId="23" fillId="0" borderId="0" xfId="2" applyFill="1"/>
    <xf numFmtId="0" fontId="5" fillId="0" borderId="0" xfId="1" applyFont="1" applyFill="1" applyBorder="1" applyAlignment="1" applyProtection="1">
      <alignment horizontal="center" vertical="center"/>
      <protection locked="0"/>
    </xf>
    <xf numFmtId="0" fontId="0" fillId="0" borderId="0" xfId="0"/>
    <xf numFmtId="177" fontId="0" fillId="0" borderId="36" xfId="0" applyNumberFormat="1" applyBorder="1"/>
    <xf numFmtId="182" fontId="0" fillId="0" borderId="36" xfId="0" applyNumberFormat="1" applyBorder="1"/>
    <xf numFmtId="183" fontId="0" fillId="0" borderId="36" xfId="0" applyNumberFormat="1" applyBorder="1"/>
    <xf numFmtId="183" fontId="0" fillId="0" borderId="32" xfId="0" applyNumberFormat="1" applyBorder="1"/>
    <xf numFmtId="184" fontId="0" fillId="0" borderId="36" xfId="0" applyNumberFormat="1" applyBorder="1"/>
    <xf numFmtId="185" fontId="0" fillId="0" borderId="36" xfId="0" applyNumberFormat="1" applyBorder="1"/>
    <xf numFmtId="186" fontId="0" fillId="0" borderId="36" xfId="0" applyNumberFormat="1" applyBorder="1"/>
    <xf numFmtId="185" fontId="0" fillId="0" borderId="32" xfId="0" applyNumberFormat="1" applyBorder="1"/>
    <xf numFmtId="0" fontId="13" fillId="0" borderId="19" xfId="0" quotePrefix="1" applyFont="1" applyFill="1" applyBorder="1" applyAlignment="1" applyProtection="1">
      <alignment horizontal="right" vertical="center"/>
    </xf>
    <xf numFmtId="0" fontId="13" fillId="0" borderId="19" xfId="0" applyFont="1" applyFill="1" applyBorder="1" applyAlignment="1" applyProtection="1">
      <alignment horizontal="right" vertical="center"/>
    </xf>
    <xf numFmtId="0" fontId="13" fillId="0" borderId="23" xfId="0" applyFont="1" applyFill="1" applyBorder="1" applyAlignment="1" applyProtection="1">
      <alignment horizontal="right" vertical="center"/>
    </xf>
    <xf numFmtId="0" fontId="11" fillId="0" borderId="0" xfId="0" applyNumberFormat="1" applyFont="1" applyBorder="1" applyAlignment="1">
      <alignment wrapText="1"/>
    </xf>
    <xf numFmtId="0" fontId="7" fillId="4" borderId="41" xfId="0" applyFont="1" applyFill="1" applyBorder="1" applyAlignment="1" applyProtection="1">
      <alignment horizontal="center" vertical="center"/>
    </xf>
    <xf numFmtId="0" fontId="7" fillId="3" borderId="41" xfId="0" applyFont="1" applyFill="1" applyBorder="1" applyAlignment="1" applyProtection="1">
      <alignment horizontal="center" vertical="center"/>
    </xf>
    <xf numFmtId="0" fontId="0" fillId="7" borderId="41" xfId="0" applyFill="1" applyBorder="1" applyAlignment="1">
      <alignment horizontal="center"/>
    </xf>
    <xf numFmtId="0" fontId="27" fillId="0" borderId="0" xfId="0" applyNumberFormat="1" applyFont="1" applyBorder="1" applyAlignment="1">
      <alignment wrapText="1"/>
    </xf>
    <xf numFmtId="194" fontId="0" fillId="0" borderId="36" xfId="0" applyNumberFormat="1" applyBorder="1"/>
    <xf numFmtId="0" fontId="0" fillId="0" borderId="0" xfId="0" applyFill="1" applyAlignment="1"/>
    <xf numFmtId="188" fontId="27" fillId="0" borderId="0" xfId="0" applyNumberFormat="1" applyFont="1" applyBorder="1" applyAlignment="1">
      <alignment wrapText="1"/>
    </xf>
    <xf numFmtId="198" fontId="27" fillId="0" borderId="0" xfId="0" applyNumberFormat="1" applyFont="1" applyBorder="1" applyAlignment="1">
      <alignment wrapText="1"/>
    </xf>
    <xf numFmtId="0" fontId="19" fillId="9" borderId="53" xfId="0" applyFont="1" applyFill="1" applyBorder="1" applyAlignment="1">
      <alignment horizontal="center"/>
    </xf>
    <xf numFmtId="0" fontId="0" fillId="0" borderId="0" xfId="0" applyAlignment="1">
      <alignment horizontal="center"/>
    </xf>
    <xf numFmtId="0" fontId="0" fillId="0" borderId="0" xfId="0"/>
    <xf numFmtId="0" fontId="0" fillId="0" borderId="0" xfId="0"/>
    <xf numFmtId="0" fontId="0" fillId="5" borderId="0" xfId="0" applyFont="1" applyFill="1" applyBorder="1" applyAlignment="1">
      <alignment horizontal="center" vertical="center" wrapText="1"/>
    </xf>
    <xf numFmtId="0" fontId="0" fillId="0" borderId="0" xfId="0" applyAlignment="1">
      <alignment vertical="center"/>
    </xf>
    <xf numFmtId="0" fontId="1" fillId="5" borderId="0" xfId="0" applyFont="1" applyFill="1" applyBorder="1" applyAlignment="1">
      <alignment wrapText="1"/>
    </xf>
    <xf numFmtId="0" fontId="10" fillId="5" borderId="0" xfId="0" applyFont="1" applyFill="1" applyBorder="1" applyAlignment="1">
      <alignment vertical="center"/>
    </xf>
    <xf numFmtId="0" fontId="0" fillId="5" borderId="0" xfId="0" applyFill="1" applyBorder="1" applyAlignment="1">
      <alignment vertical="center"/>
    </xf>
    <xf numFmtId="0" fontId="0" fillId="5" borderId="0" xfId="0" applyFont="1" applyFill="1" applyBorder="1" applyAlignment="1">
      <alignment horizontal="left" vertical="center"/>
    </xf>
    <xf numFmtId="0" fontId="0" fillId="5" borderId="0" xfId="0" applyFill="1" applyBorder="1"/>
    <xf numFmtId="0" fontId="0" fillId="5" borderId="0" xfId="0" applyFill="1" applyBorder="1" applyAlignment="1">
      <alignment horizontal="center" vertical="center"/>
    </xf>
    <xf numFmtId="0" fontId="0" fillId="5" borderId="0" xfId="0" applyFill="1" applyBorder="1" applyAlignment="1">
      <alignment horizontal="center"/>
    </xf>
    <xf numFmtId="0" fontId="1" fillId="5" borderId="0" xfId="0" applyFont="1" applyFill="1" applyBorder="1" applyAlignment="1">
      <alignment horizontal="left" vertical="top" wrapText="1"/>
    </xf>
    <xf numFmtId="0" fontId="29" fillId="5" borderId="0" xfId="0" applyFont="1" applyFill="1" applyBorder="1" applyAlignment="1">
      <alignment horizontal="left" vertical="center" indent="1"/>
    </xf>
    <xf numFmtId="0" fontId="29" fillId="0" borderId="0" xfId="0" applyFont="1" applyBorder="1" applyAlignment="1">
      <alignment horizontal="left" indent="1"/>
    </xf>
    <xf numFmtId="0" fontId="0" fillId="0" borderId="0" xfId="0" applyBorder="1" applyAlignment="1">
      <alignment horizontal="left" indent="1"/>
    </xf>
    <xf numFmtId="0" fontId="0" fillId="5" borderId="0" xfId="0" applyFont="1" applyFill="1" applyBorder="1" applyAlignment="1">
      <alignment horizontal="left" vertical="center" indent="1"/>
    </xf>
    <xf numFmtId="0" fontId="29" fillId="5" borderId="0" xfId="0" applyFont="1" applyFill="1" applyBorder="1" applyAlignment="1">
      <alignment horizontal="left" indent="1"/>
    </xf>
    <xf numFmtId="0" fontId="0" fillId="5" borderId="0" xfId="0" applyFill="1" applyBorder="1" applyAlignment="1">
      <alignment horizontal="left" indent="1"/>
    </xf>
    <xf numFmtId="0" fontId="29" fillId="0" borderId="0" xfId="0" applyFont="1" applyBorder="1" applyAlignment="1"/>
    <xf numFmtId="0" fontId="0" fillId="5" borderId="0" xfId="0" applyFont="1" applyFill="1" applyBorder="1" applyAlignment="1">
      <alignment vertical="center" wrapText="1"/>
    </xf>
    <xf numFmtId="0" fontId="0" fillId="0" borderId="0" xfId="0" applyBorder="1" applyAlignment="1">
      <alignment horizontal="left"/>
    </xf>
    <xf numFmtId="0" fontId="29" fillId="0" borderId="0" xfId="0" applyFont="1" applyBorder="1" applyAlignment="1">
      <alignment horizontal="left"/>
    </xf>
    <xf numFmtId="0" fontId="7" fillId="11" borderId="42" xfId="0" applyFont="1" applyFill="1" applyBorder="1" applyAlignment="1" applyProtection="1">
      <alignment horizontal="center" vertical="center"/>
    </xf>
    <xf numFmtId="0" fontId="0" fillId="0" borderId="0" xfId="0"/>
    <xf numFmtId="0" fontId="31" fillId="8" borderId="39" xfId="0" applyFont="1" applyFill="1" applyBorder="1" applyAlignment="1">
      <alignment horizontal="center" vertical="center" wrapText="1"/>
    </xf>
    <xf numFmtId="1" fontId="31" fillId="8" borderId="39" xfId="0" applyNumberFormat="1" applyFont="1" applyFill="1" applyBorder="1" applyAlignment="1">
      <alignment horizontal="center" vertical="center" wrapText="1"/>
    </xf>
    <xf numFmtId="0" fontId="31" fillId="8" borderId="0" xfId="0" applyNumberFormat="1" applyFont="1" applyFill="1" applyAlignment="1">
      <alignment horizontal="center" vertical="center" wrapText="1"/>
    </xf>
    <xf numFmtId="0" fontId="0" fillId="10" borderId="5" xfId="0" applyFont="1" applyFill="1" applyBorder="1" applyAlignment="1">
      <alignment horizontal="left" vertical="center" indent="1"/>
    </xf>
    <xf numFmtId="10" fontId="0" fillId="3" borderId="0" xfId="0" applyNumberFormat="1" applyFont="1" applyFill="1" applyBorder="1" applyAlignment="1">
      <alignment horizontal="center" vertical="center"/>
    </xf>
    <xf numFmtId="169" fontId="0" fillId="3" borderId="0" xfId="0" applyNumberFormat="1" applyFont="1" applyFill="1" applyBorder="1" applyAlignment="1">
      <alignment horizontal="center" vertical="center"/>
    </xf>
    <xf numFmtId="0" fontId="1" fillId="5" borderId="0" xfId="0" applyFont="1" applyFill="1" applyBorder="1" applyAlignment="1">
      <alignment horizontal="center"/>
    </xf>
    <xf numFmtId="0" fontId="1" fillId="5" borderId="0" xfId="0" applyFont="1" applyFill="1" applyBorder="1" applyAlignment="1">
      <alignment horizontal="center" vertical="center"/>
    </xf>
    <xf numFmtId="0" fontId="0" fillId="5" borderId="0" xfId="0" applyFill="1" applyBorder="1" applyAlignment="1">
      <alignment horizontal="center" vertical="center"/>
    </xf>
    <xf numFmtId="0" fontId="0" fillId="0" borderId="0" xfId="0"/>
    <xf numFmtId="0" fontId="1" fillId="5" borderId="0" xfId="0" applyFont="1" applyFill="1" applyBorder="1" applyAlignment="1"/>
    <xf numFmtId="0" fontId="1" fillId="5" borderId="0" xfId="0" applyFont="1" applyFill="1" applyBorder="1" applyAlignment="1">
      <alignment vertical="center"/>
    </xf>
    <xf numFmtId="1" fontId="0" fillId="5" borderId="0" xfId="0" applyNumberFormat="1" applyFill="1" applyBorder="1" applyAlignment="1"/>
    <xf numFmtId="0" fontId="27" fillId="0" borderId="0" xfId="0" applyNumberFormat="1" applyFont="1" applyBorder="1" applyAlignment="1">
      <alignment horizontal="center"/>
    </xf>
    <xf numFmtId="188" fontId="0" fillId="0" borderId="0" xfId="0" applyNumberFormat="1" applyFill="1" applyBorder="1" applyAlignment="1">
      <alignment horizontal="center" vertical="center"/>
    </xf>
    <xf numFmtId="0" fontId="11" fillId="0" borderId="0" xfId="0" applyNumberFormat="1" applyFont="1" applyBorder="1" applyAlignment="1">
      <alignment horizontal="center" vertical="center" wrapText="1"/>
    </xf>
    <xf numFmtId="0" fontId="0" fillId="0" borderId="0" xfId="0"/>
    <xf numFmtId="1" fontId="20" fillId="8" borderId="39" xfId="0" applyNumberFormat="1" applyFont="1" applyFill="1" applyBorder="1" applyAlignment="1">
      <alignment horizontal="center" vertical="center" wrapText="1"/>
    </xf>
    <xf numFmtId="0" fontId="14" fillId="0" borderId="0" xfId="0" applyFont="1" applyAlignment="1"/>
    <xf numFmtId="0" fontId="0" fillId="5" borderId="0" xfId="0" applyFont="1" applyFill="1" applyBorder="1" applyAlignment="1">
      <alignment vertical="top" wrapText="1"/>
    </xf>
    <xf numFmtId="169" fontId="0" fillId="0" borderId="0" xfId="0" applyNumberFormat="1" applyFont="1" applyFill="1" applyBorder="1" applyAlignment="1">
      <alignment horizontal="center" vertical="center"/>
    </xf>
    <xf numFmtId="0" fontId="10" fillId="0" borderId="0" xfId="0" applyFont="1" applyFill="1" applyBorder="1" applyAlignment="1">
      <alignment horizontal="center" vertical="center"/>
    </xf>
    <xf numFmtId="0" fontId="1" fillId="0" borderId="0" xfId="0" applyFont="1" applyFill="1" applyBorder="1" applyAlignment="1" applyProtection="1">
      <alignment horizontal="center" vertical="center"/>
      <protection locked="0"/>
    </xf>
    <xf numFmtId="196" fontId="0" fillId="0" borderId="0" xfId="0" applyNumberFormat="1" applyFill="1" applyBorder="1" applyAlignment="1" applyProtection="1">
      <alignment horizontal="center" vertical="center"/>
      <protection locked="0"/>
    </xf>
    <xf numFmtId="192" fontId="11" fillId="0" borderId="0" xfId="0" applyNumberFormat="1" applyFont="1" applyFill="1" applyBorder="1" applyAlignment="1" applyProtection="1">
      <alignment horizontal="center" vertical="center"/>
      <protection locked="0"/>
    </xf>
    <xf numFmtId="175" fontId="0" fillId="0" borderId="0" xfId="0" applyNumberFormat="1" applyFill="1" applyBorder="1" applyAlignment="1" applyProtection="1">
      <alignment horizontal="center" vertical="center"/>
      <protection locked="0"/>
    </xf>
    <xf numFmtId="171" fontId="0" fillId="0" borderId="0" xfId="0" applyNumberFormat="1" applyFill="1" applyBorder="1" applyAlignment="1" applyProtection="1">
      <alignment horizontal="center" vertical="center"/>
      <protection locked="0"/>
    </xf>
    <xf numFmtId="187" fontId="0" fillId="0" borderId="0" xfId="0" applyNumberFormat="1" applyFill="1" applyBorder="1" applyAlignment="1" applyProtection="1">
      <alignment horizontal="center" vertical="center"/>
      <protection locked="0"/>
    </xf>
    <xf numFmtId="189" fontId="0" fillId="0" borderId="0" xfId="0" applyNumberFormat="1" applyFill="1" applyBorder="1" applyAlignment="1">
      <alignment horizontal="center" vertical="center"/>
    </xf>
    <xf numFmtId="180" fontId="0" fillId="0" borderId="0" xfId="0" applyNumberFormat="1" applyFill="1" applyBorder="1" applyAlignment="1">
      <alignment horizontal="center"/>
    </xf>
    <xf numFmtId="193" fontId="0" fillId="0" borderId="0" xfId="0" applyNumberFormat="1" applyFill="1" applyBorder="1" applyAlignment="1" applyProtection="1">
      <alignment horizontal="center" vertical="center"/>
      <protection locked="0"/>
    </xf>
    <xf numFmtId="188" fontId="0" fillId="0" borderId="0" xfId="0" applyNumberFormat="1" applyFill="1" applyBorder="1" applyAlignment="1">
      <alignment horizontal="center"/>
    </xf>
    <xf numFmtId="166" fontId="0" fillId="0" borderId="0" xfId="0" applyNumberFormat="1" applyFill="1" applyBorder="1" applyAlignment="1">
      <alignment horizontal="center" vertical="center"/>
    </xf>
    <xf numFmtId="191" fontId="0" fillId="0" borderId="0" xfId="0" applyNumberFormat="1" applyFill="1" applyBorder="1" applyAlignment="1">
      <alignment horizontal="center" vertical="center"/>
    </xf>
    <xf numFmtId="0" fontId="1" fillId="0" borderId="0" xfId="0" applyFont="1" applyFill="1" applyBorder="1" applyAlignment="1">
      <alignment horizontal="center" vertical="center" wrapText="1"/>
    </xf>
    <xf numFmtId="169" fontId="11" fillId="0" borderId="0" xfId="0" applyNumberFormat="1" applyFont="1" applyFill="1" applyBorder="1" applyAlignment="1">
      <alignment horizontal="center" vertical="center"/>
    </xf>
    <xf numFmtId="169" fontId="0" fillId="0" borderId="0" xfId="0" applyNumberFormat="1" applyFill="1" applyBorder="1" applyAlignment="1">
      <alignment horizontal="center"/>
    </xf>
    <xf numFmtId="0" fontId="1" fillId="0" borderId="0" xfId="0" applyFont="1" applyFill="1" applyBorder="1" applyAlignment="1">
      <alignment horizontal="center" vertical="center"/>
    </xf>
    <xf numFmtId="200" fontId="0" fillId="0" borderId="0" xfId="0" applyNumberFormat="1" applyFont="1" applyFill="1" applyBorder="1" applyAlignment="1" applyProtection="1">
      <alignment horizontal="center" vertical="center"/>
      <protection locked="0"/>
    </xf>
    <xf numFmtId="0" fontId="20" fillId="8" borderId="39" xfId="0" applyFont="1" applyFill="1" applyBorder="1" applyAlignment="1">
      <alignment horizontal="center" vertical="center" wrapText="1"/>
    </xf>
    <xf numFmtId="0" fontId="0" fillId="0" borderId="0" xfId="0" applyFill="1" applyBorder="1" applyAlignment="1">
      <alignment horizontal="center" vertical="center"/>
    </xf>
    <xf numFmtId="166" fontId="0" fillId="0" borderId="0" xfId="0" applyNumberFormat="1" applyFill="1" applyBorder="1" applyAlignment="1">
      <alignment horizontal="center"/>
    </xf>
    <xf numFmtId="0" fontId="0" fillId="0" borderId="0" xfId="0" applyFill="1" applyBorder="1" applyAlignment="1">
      <alignment horizontal="left" vertical="center"/>
    </xf>
    <xf numFmtId="0" fontId="0" fillId="10" borderId="19" xfId="0" applyFont="1" applyFill="1" applyBorder="1" applyAlignment="1">
      <alignment horizontal="left" vertical="center" indent="1"/>
    </xf>
    <xf numFmtId="0" fontId="0" fillId="10" borderId="0" xfId="0" applyFont="1" applyFill="1" applyBorder="1" applyAlignment="1">
      <alignment horizontal="left" vertical="center" indent="1"/>
    </xf>
    <xf numFmtId="0" fontId="0" fillId="10" borderId="25" xfId="0" applyFont="1" applyFill="1" applyBorder="1" applyAlignment="1">
      <alignment horizontal="left" vertical="center" indent="1"/>
    </xf>
    <xf numFmtId="0" fontId="0" fillId="10" borderId="30" xfId="0" applyFont="1" applyFill="1" applyBorder="1" applyAlignment="1">
      <alignment horizontal="left" vertical="center" indent="1"/>
    </xf>
    <xf numFmtId="0" fontId="0" fillId="10" borderId="57" xfId="0" applyFont="1" applyFill="1" applyBorder="1" applyAlignment="1">
      <alignment horizontal="left" vertical="center" indent="1"/>
    </xf>
    <xf numFmtId="0" fontId="0" fillId="10" borderId="67" xfId="0" applyFont="1" applyFill="1" applyBorder="1" applyAlignment="1">
      <alignment horizontal="left" vertical="center" indent="1"/>
    </xf>
    <xf numFmtId="0" fontId="0" fillId="10" borderId="23" xfId="0" applyFont="1" applyFill="1" applyBorder="1" applyAlignment="1">
      <alignment horizontal="left" vertical="center" indent="1"/>
    </xf>
    <xf numFmtId="0" fontId="0" fillId="10" borderId="63" xfId="0" applyFont="1" applyFill="1" applyBorder="1" applyAlignment="1">
      <alignment horizontal="left" vertical="center" indent="1"/>
    </xf>
    <xf numFmtId="0" fontId="32" fillId="5" borderId="0" xfId="0" applyFont="1" applyFill="1" applyAlignment="1">
      <alignment vertical="center"/>
    </xf>
    <xf numFmtId="188" fontId="0" fillId="5" borderId="0" xfId="0" applyNumberFormat="1" applyFill="1" applyBorder="1" applyAlignment="1">
      <alignment horizontal="center" vertical="center"/>
    </xf>
    <xf numFmtId="0" fontId="0" fillId="0" borderId="0" xfId="0"/>
    <xf numFmtId="199" fontId="0" fillId="11" borderId="77" xfId="0" applyNumberFormat="1" applyFont="1" applyFill="1" applyBorder="1" applyAlignment="1" applyProtection="1">
      <alignment horizontal="center" vertical="center"/>
      <protection locked="0"/>
    </xf>
    <xf numFmtId="173" fontId="0" fillId="11" borderId="41" xfId="0" applyNumberFormat="1" applyFont="1" applyFill="1" applyBorder="1" applyAlignment="1" applyProtection="1">
      <alignment horizontal="center" vertical="center"/>
      <protection locked="0"/>
    </xf>
    <xf numFmtId="0" fontId="1" fillId="0" borderId="74" xfId="0" applyFont="1" applyBorder="1" applyAlignment="1">
      <alignment horizontal="center" vertical="center"/>
    </xf>
    <xf numFmtId="0" fontId="1" fillId="5" borderId="71" xfId="0" applyFont="1" applyFill="1" applyBorder="1" applyAlignment="1">
      <alignment horizontal="center" vertical="center"/>
    </xf>
    <xf numFmtId="0" fontId="0" fillId="6" borderId="19" xfId="0" applyFont="1" applyFill="1" applyBorder="1" applyAlignment="1">
      <alignment horizontal="left" vertical="center" indent="1"/>
    </xf>
    <xf numFmtId="0" fontId="0" fillId="6" borderId="0" xfId="0" applyFont="1" applyFill="1" applyBorder="1" applyAlignment="1">
      <alignment horizontal="left" vertical="center" indent="1"/>
    </xf>
    <xf numFmtId="0" fontId="0" fillId="6" borderId="25" xfId="0" applyFont="1" applyFill="1" applyBorder="1" applyAlignment="1">
      <alignment horizontal="left" vertical="center" indent="1"/>
    </xf>
    <xf numFmtId="0" fontId="0" fillId="6" borderId="58" xfId="0" applyFont="1" applyFill="1" applyBorder="1" applyAlignment="1">
      <alignment horizontal="left" vertical="center" indent="1"/>
    </xf>
    <xf numFmtId="0" fontId="0" fillId="6" borderId="18" xfId="0" applyFont="1" applyFill="1" applyBorder="1" applyAlignment="1">
      <alignment horizontal="left" vertical="center" indent="1"/>
    </xf>
    <xf numFmtId="0" fontId="0" fillId="6" borderId="20" xfId="0" applyFont="1" applyFill="1" applyBorder="1" applyAlignment="1">
      <alignment horizontal="left" vertical="center" indent="1"/>
    </xf>
    <xf numFmtId="0" fontId="0" fillId="0" borderId="38" xfId="0" applyFont="1" applyFill="1" applyBorder="1" applyAlignment="1">
      <alignment horizontal="left" vertical="center"/>
    </xf>
    <xf numFmtId="0" fontId="0" fillId="0" borderId="2" xfId="0" applyFont="1" applyFill="1" applyBorder="1" applyAlignment="1">
      <alignment horizontal="left" vertical="center"/>
    </xf>
    <xf numFmtId="0" fontId="0" fillId="0" borderId="79" xfId="0" applyFont="1" applyFill="1" applyBorder="1" applyAlignment="1">
      <alignment horizontal="left" vertical="center" wrapText="1"/>
    </xf>
    <xf numFmtId="10" fontId="1" fillId="12" borderId="42" xfId="0" applyNumberFormat="1" applyFont="1" applyFill="1" applyBorder="1" applyAlignment="1">
      <alignment horizontal="center" vertical="center"/>
    </xf>
    <xf numFmtId="169" fontId="1" fillId="12" borderId="41" xfId="0" applyNumberFormat="1" applyFont="1" applyFill="1" applyBorder="1" applyAlignment="1">
      <alignment horizontal="center" vertical="center"/>
    </xf>
    <xf numFmtId="10" fontId="1" fillId="12" borderId="41" xfId="0" applyNumberFormat="1" applyFont="1" applyFill="1" applyBorder="1" applyAlignment="1">
      <alignment horizontal="center" vertical="center"/>
    </xf>
    <xf numFmtId="169" fontId="1" fillId="12" borderId="53" xfId="0" applyNumberFormat="1" applyFont="1" applyFill="1" applyBorder="1" applyAlignment="1">
      <alignment horizontal="center" vertical="center" wrapText="1"/>
    </xf>
    <xf numFmtId="0" fontId="0" fillId="10" borderId="30" xfId="0" applyFill="1" applyBorder="1" applyAlignment="1">
      <alignment horizontal="left" vertical="center"/>
    </xf>
    <xf numFmtId="0" fontId="0" fillId="4" borderId="68" xfId="0" applyFill="1" applyBorder="1" applyAlignment="1">
      <alignment horizontal="center" vertical="center"/>
    </xf>
    <xf numFmtId="1" fontId="0" fillId="4" borderId="22" xfId="0" applyNumberFormat="1" applyFill="1" applyBorder="1" applyAlignment="1">
      <alignment horizontal="center" vertical="center"/>
    </xf>
    <xf numFmtId="0" fontId="0" fillId="10" borderId="19" xfId="0" applyFill="1" applyBorder="1" applyAlignment="1">
      <alignment horizontal="left" vertical="center"/>
    </xf>
    <xf numFmtId="0" fontId="0" fillId="4" borderId="61" xfId="0" applyFill="1" applyBorder="1" applyAlignment="1">
      <alignment horizontal="center" vertical="center"/>
    </xf>
    <xf numFmtId="0" fontId="0" fillId="4" borderId="41" xfId="0" applyFill="1" applyBorder="1" applyAlignment="1">
      <alignment horizontal="center" vertical="center"/>
    </xf>
    <xf numFmtId="1" fontId="0" fillId="4" borderId="36" xfId="0" applyNumberFormat="1" applyFill="1" applyBorder="1" applyAlignment="1">
      <alignment horizontal="center" vertical="center"/>
    </xf>
    <xf numFmtId="1" fontId="0" fillId="4" borderId="61" xfId="0" applyNumberFormat="1" applyFill="1" applyBorder="1" applyAlignment="1">
      <alignment horizontal="center" vertical="center"/>
    </xf>
    <xf numFmtId="0" fontId="0" fillId="10" borderId="19" xfId="0" applyFill="1" applyBorder="1" applyAlignment="1">
      <alignment vertical="center"/>
    </xf>
    <xf numFmtId="0" fontId="0" fillId="10" borderId="36" xfId="0" applyFill="1" applyBorder="1" applyAlignment="1">
      <alignment vertical="center"/>
    </xf>
    <xf numFmtId="0" fontId="0" fillId="10" borderId="23" xfId="0" applyFill="1" applyBorder="1" applyAlignment="1">
      <alignment horizontal="left" vertical="center"/>
    </xf>
    <xf numFmtId="1" fontId="0" fillId="4" borderId="62" xfId="0" applyNumberFormat="1" applyFill="1" applyBorder="1" applyAlignment="1">
      <alignment horizontal="center" vertical="center"/>
    </xf>
    <xf numFmtId="0" fontId="0" fillId="10" borderId="23" xfId="0" applyFill="1" applyBorder="1" applyAlignment="1">
      <alignment vertical="center"/>
    </xf>
    <xf numFmtId="0" fontId="0" fillId="10" borderId="32" xfId="0" applyFill="1" applyBorder="1" applyAlignment="1">
      <alignment vertical="center"/>
    </xf>
    <xf numFmtId="0" fontId="0" fillId="10" borderId="30" xfId="0" applyFill="1" applyBorder="1" applyAlignment="1">
      <alignment vertical="center"/>
    </xf>
    <xf numFmtId="0" fontId="0" fillId="10" borderId="57" xfId="0" applyFill="1" applyBorder="1" applyAlignment="1">
      <alignment vertical="center"/>
    </xf>
    <xf numFmtId="202" fontId="0" fillId="3" borderId="72" xfId="3" applyNumberFormat="1" applyFont="1" applyFill="1" applyBorder="1" applyAlignment="1">
      <alignment horizontal="center" vertical="center"/>
    </xf>
    <xf numFmtId="0" fontId="0" fillId="10" borderId="0" xfId="0" applyFill="1" applyBorder="1" applyAlignment="1">
      <alignment vertical="center"/>
    </xf>
    <xf numFmtId="1" fontId="0" fillId="3" borderId="43" xfId="0" applyNumberFormat="1" applyFill="1" applyBorder="1" applyAlignment="1">
      <alignment horizontal="center" vertical="center"/>
    </xf>
    <xf numFmtId="202" fontId="0" fillId="3" borderId="29" xfId="3" applyNumberFormat="1" applyFont="1" applyFill="1" applyBorder="1" applyAlignment="1">
      <alignment horizontal="center" vertical="center"/>
    </xf>
    <xf numFmtId="0" fontId="0" fillId="10" borderId="58" xfId="0" applyFill="1" applyBorder="1" applyAlignment="1">
      <alignment vertical="center"/>
    </xf>
    <xf numFmtId="0" fontId="0" fillId="10" borderId="18" xfId="0" applyFill="1" applyBorder="1" applyAlignment="1">
      <alignment vertical="center"/>
    </xf>
    <xf numFmtId="1" fontId="0" fillId="3" borderId="37" xfId="0" applyNumberFormat="1" applyFill="1" applyBorder="1" applyAlignment="1">
      <alignment horizontal="center" vertical="center"/>
    </xf>
    <xf numFmtId="202" fontId="0" fillId="3" borderId="42" xfId="3" applyNumberFormat="1" applyFont="1" applyFill="1" applyBorder="1" applyAlignment="1">
      <alignment horizontal="center" vertical="center"/>
    </xf>
    <xf numFmtId="0" fontId="0" fillId="10" borderId="5" xfId="0" applyFill="1" applyBorder="1" applyAlignment="1">
      <alignment vertical="center"/>
    </xf>
    <xf numFmtId="1" fontId="0" fillId="3" borderId="16" xfId="0" applyNumberFormat="1" applyFill="1" applyBorder="1" applyAlignment="1">
      <alignment horizontal="center" vertical="center"/>
    </xf>
    <xf numFmtId="202" fontId="0" fillId="3" borderId="73" xfId="3" applyNumberFormat="1" applyFont="1" applyFill="1" applyBorder="1" applyAlignment="1">
      <alignment horizontal="center" vertical="center"/>
    </xf>
    <xf numFmtId="0" fontId="29" fillId="0" borderId="0" xfId="0" applyFont="1" applyBorder="1" applyAlignment="1">
      <alignment vertical="center" wrapText="1"/>
    </xf>
    <xf numFmtId="0" fontId="29" fillId="5" borderId="0" xfId="0" applyFont="1" applyFill="1" applyAlignment="1">
      <alignment wrapText="1"/>
    </xf>
    <xf numFmtId="1" fontId="1" fillId="3" borderId="75" xfId="0" applyNumberFormat="1" applyFont="1" applyFill="1" applyBorder="1" applyAlignment="1">
      <alignment horizontal="center" vertical="center"/>
    </xf>
    <xf numFmtId="1" fontId="1" fillId="3" borderId="43" xfId="0" applyNumberFormat="1" applyFont="1" applyFill="1" applyBorder="1" applyAlignment="1">
      <alignment horizontal="center" vertical="center"/>
    </xf>
    <xf numFmtId="0" fontId="0" fillId="0" borderId="0" xfId="0" applyFill="1" applyAlignment="1">
      <alignment horizontal="center" vertical="center" wrapText="1"/>
    </xf>
    <xf numFmtId="0" fontId="0" fillId="0" borderId="0" xfId="0"/>
    <xf numFmtId="0" fontId="0" fillId="0" borderId="0" xfId="0" applyProtection="1">
      <protection hidden="1"/>
    </xf>
    <xf numFmtId="0" fontId="1" fillId="0" borderId="0" xfId="0" applyFont="1" applyFill="1" applyAlignment="1" applyProtection="1">
      <alignment horizontal="right"/>
      <protection hidden="1"/>
    </xf>
    <xf numFmtId="0" fontId="0" fillId="0" borderId="0" xfId="0" applyFill="1" applyProtection="1">
      <protection hidden="1"/>
    </xf>
    <xf numFmtId="0" fontId="33" fillId="0" borderId="0" xfId="0" applyFont="1" applyFill="1" applyProtection="1">
      <protection hidden="1"/>
    </xf>
    <xf numFmtId="0" fontId="30" fillId="0" borderId="0" xfId="0" applyFont="1" applyFill="1" applyProtection="1">
      <protection hidden="1"/>
    </xf>
    <xf numFmtId="0" fontId="3" fillId="0" borderId="0" xfId="0" applyFont="1" applyFill="1" applyBorder="1" applyAlignment="1" applyProtection="1">
      <protection hidden="1"/>
    </xf>
    <xf numFmtId="0" fontId="0" fillId="0" borderId="0" xfId="0" applyFill="1" applyBorder="1" applyProtection="1">
      <protection hidden="1"/>
    </xf>
    <xf numFmtId="0" fontId="3" fillId="0" borderId="0" xfId="0" applyFont="1" applyFill="1" applyBorder="1" applyAlignment="1" applyProtection="1">
      <alignment horizontal="right"/>
      <protection hidden="1"/>
    </xf>
    <xf numFmtId="0" fontId="1" fillId="0" borderId="0" xfId="0" applyFont="1" applyFill="1" applyBorder="1" applyProtection="1">
      <protection hidden="1"/>
    </xf>
    <xf numFmtId="0" fontId="0" fillId="0" borderId="0" xfId="0" applyFont="1" applyFill="1" applyBorder="1" applyProtection="1">
      <protection hidden="1"/>
    </xf>
    <xf numFmtId="0" fontId="1" fillId="0" borderId="0" xfId="0" applyFont="1" applyFill="1" applyBorder="1" applyAlignment="1" applyProtection="1">
      <alignment horizontal="right"/>
      <protection hidden="1"/>
    </xf>
    <xf numFmtId="0" fontId="15" fillId="0" borderId="6" xfId="1" applyFont="1" applyFill="1" applyBorder="1" applyAlignment="1" applyProtection="1">
      <alignment horizontal="left" indent="1"/>
      <protection hidden="1"/>
    </xf>
    <xf numFmtId="0" fontId="15" fillId="0" borderId="31" xfId="1" applyFont="1" applyFill="1" applyBorder="1" applyAlignment="1" applyProtection="1">
      <alignment horizontal="left" indent="1"/>
      <protection hidden="1"/>
    </xf>
    <xf numFmtId="0" fontId="15" fillId="0" borderId="34" xfId="1" applyFont="1" applyFill="1" applyBorder="1" applyAlignment="1" applyProtection="1">
      <protection hidden="1"/>
    </xf>
    <xf numFmtId="0" fontId="0" fillId="0" borderId="31" xfId="0" applyFont="1" applyFill="1" applyBorder="1" applyAlignment="1" applyProtection="1">
      <alignment horizontal="left" indent="1"/>
      <protection hidden="1"/>
    </xf>
    <xf numFmtId="0" fontId="6" fillId="0" borderId="31" xfId="0" applyFont="1" applyFill="1" applyBorder="1" applyAlignment="1" applyProtection="1">
      <protection hidden="1"/>
    </xf>
    <xf numFmtId="0" fontId="6" fillId="0" borderId="34" xfId="0" applyFont="1" applyFill="1" applyBorder="1" applyAlignment="1" applyProtection="1">
      <protection hidden="1"/>
    </xf>
    <xf numFmtId="0" fontId="6" fillId="0" borderId="0" xfId="0" applyFont="1" applyFill="1" applyBorder="1" applyAlignment="1" applyProtection="1">
      <protection hidden="1"/>
    </xf>
    <xf numFmtId="0" fontId="15" fillId="0" borderId="61" xfId="0" applyFont="1" applyFill="1" applyBorder="1" applyAlignment="1" applyProtection="1">
      <alignment horizontal="left" indent="1"/>
      <protection hidden="1"/>
    </xf>
    <xf numFmtId="0" fontId="15" fillId="0" borderId="0" xfId="0" applyFont="1" applyFill="1" applyBorder="1" applyAlignment="1" applyProtection="1">
      <alignment horizontal="left" indent="1"/>
      <protection hidden="1"/>
    </xf>
    <xf numFmtId="0" fontId="15" fillId="0" borderId="25" xfId="0" applyFont="1" applyFill="1" applyBorder="1" applyAlignment="1" applyProtection="1">
      <protection hidden="1"/>
    </xf>
    <xf numFmtId="0" fontId="0" fillId="0" borderId="0" xfId="0" applyFont="1" applyFill="1" applyBorder="1" applyAlignment="1" applyProtection="1">
      <alignment horizontal="left" indent="1"/>
      <protection hidden="1"/>
    </xf>
    <xf numFmtId="0" fontId="6" fillId="0" borderId="0" xfId="0" applyFont="1" applyFill="1" applyBorder="1" applyProtection="1">
      <protection hidden="1"/>
    </xf>
    <xf numFmtId="0" fontId="6" fillId="0" borderId="25" xfId="0" applyFont="1" applyFill="1" applyBorder="1" applyProtection="1">
      <protection hidden="1"/>
    </xf>
    <xf numFmtId="0" fontId="0" fillId="0" borderId="6" xfId="0" applyFont="1" applyFill="1" applyBorder="1" applyAlignment="1" applyProtection="1">
      <alignment horizontal="left" vertical="center" indent="1"/>
      <protection hidden="1"/>
    </xf>
    <xf numFmtId="0" fontId="0" fillId="0" borderId="34" xfId="0" applyFont="1" applyFill="1" applyBorder="1" applyAlignment="1" applyProtection="1">
      <alignment horizontal="left" vertical="center" indent="1"/>
      <protection hidden="1"/>
    </xf>
    <xf numFmtId="0" fontId="0" fillId="0" borderId="6" xfId="0" applyBorder="1" applyAlignment="1" applyProtection="1">
      <alignment horizontal="left" indent="1"/>
      <protection hidden="1"/>
    </xf>
    <xf numFmtId="0" fontId="0" fillId="0" borderId="31" xfId="0" applyBorder="1" applyProtection="1">
      <protection hidden="1"/>
    </xf>
    <xf numFmtId="0" fontId="15" fillId="0" borderId="6" xfId="1" quotePrefix="1" applyFont="1" applyFill="1" applyBorder="1" applyAlignment="1" applyProtection="1">
      <alignment horizontal="left" indent="1"/>
      <protection hidden="1"/>
    </xf>
    <xf numFmtId="0" fontId="15" fillId="0" borderId="59" xfId="0" applyFont="1" applyFill="1" applyBorder="1" applyAlignment="1" applyProtection="1">
      <alignment horizontal="left" indent="1"/>
      <protection hidden="1"/>
    </xf>
    <xf numFmtId="0" fontId="15" fillId="0" borderId="18" xfId="0" applyFont="1" applyFill="1" applyBorder="1" applyAlignment="1" applyProtection="1">
      <alignment horizontal="left" indent="1"/>
      <protection hidden="1"/>
    </xf>
    <xf numFmtId="0" fontId="15" fillId="0" borderId="20" xfId="0" applyFont="1" applyFill="1" applyBorder="1" applyAlignment="1" applyProtection="1">
      <protection hidden="1"/>
    </xf>
    <xf numFmtId="0" fontId="0" fillId="0" borderId="18" xfId="0" applyFont="1" applyFill="1" applyBorder="1" applyAlignment="1" applyProtection="1">
      <alignment horizontal="left" indent="1"/>
      <protection hidden="1"/>
    </xf>
    <xf numFmtId="0" fontId="0" fillId="0" borderId="18" xfId="0" applyFont="1" applyFill="1" applyBorder="1" applyProtection="1">
      <protection hidden="1"/>
    </xf>
    <xf numFmtId="0" fontId="0" fillId="0" borderId="18" xfId="0" applyFill="1" applyBorder="1" applyProtection="1">
      <protection hidden="1"/>
    </xf>
    <xf numFmtId="0" fontId="0" fillId="0" borderId="20" xfId="0" applyFill="1" applyBorder="1" applyProtection="1">
      <protection hidden="1"/>
    </xf>
    <xf numFmtId="0" fontId="0" fillId="0" borderId="0" xfId="0" applyFont="1" applyBorder="1" applyProtection="1">
      <protection hidden="1"/>
    </xf>
    <xf numFmtId="0" fontId="0" fillId="0" borderId="0" xfId="0" applyBorder="1" applyProtection="1">
      <protection hidden="1"/>
    </xf>
    <xf numFmtId="0" fontId="6" fillId="0" borderId="0" xfId="0" applyFont="1" applyFill="1" applyBorder="1" applyAlignment="1" applyProtection="1">
      <alignment wrapText="1"/>
      <protection hidden="1"/>
    </xf>
    <xf numFmtId="0" fontId="3" fillId="0" borderId="0" xfId="0" applyFont="1" applyFill="1" applyBorder="1" applyAlignment="1" applyProtection="1">
      <alignment horizontal="right" wrapText="1"/>
      <protection hidden="1"/>
    </xf>
    <xf numFmtId="0" fontId="6" fillId="0" borderId="0" xfId="0" applyFont="1" applyFill="1" applyAlignment="1" applyProtection="1">
      <alignment wrapText="1"/>
      <protection hidden="1"/>
    </xf>
    <xf numFmtId="0" fontId="1" fillId="0" borderId="0" xfId="0" applyFont="1" applyFill="1" applyBorder="1" applyAlignment="1" applyProtection="1">
      <protection hidden="1"/>
    </xf>
    <xf numFmtId="0" fontId="6" fillId="0" borderId="0" xfId="0" applyFont="1" applyBorder="1" applyProtection="1">
      <protection hidden="1"/>
    </xf>
    <xf numFmtId="0" fontId="6" fillId="0" borderId="18" xfId="0" applyFont="1" applyFill="1" applyBorder="1" applyAlignment="1" applyProtection="1">
      <protection hidden="1"/>
    </xf>
    <xf numFmtId="0" fontId="6" fillId="0" borderId="20" xfId="0" applyFont="1" applyFill="1" applyBorder="1" applyAlignment="1" applyProtection="1">
      <protection hidden="1"/>
    </xf>
    <xf numFmtId="0" fontId="6" fillId="0" borderId="0" xfId="0" applyFont="1" applyFill="1" applyAlignment="1" applyProtection="1">
      <protection hidden="1"/>
    </xf>
    <xf numFmtId="0" fontId="3" fillId="0" borderId="0" xfId="0" applyFont="1" applyFill="1" applyAlignment="1" applyProtection="1">
      <alignment horizontal="right"/>
      <protection hidden="1"/>
    </xf>
    <xf numFmtId="0" fontId="0" fillId="0" borderId="0" xfId="0" applyFont="1" applyFill="1" applyProtection="1">
      <protection hidden="1"/>
    </xf>
    <xf numFmtId="0" fontId="0" fillId="0" borderId="0" xfId="0" applyFont="1" applyFill="1" applyBorder="1" applyAlignment="1" applyProtection="1">
      <alignment horizontal="left"/>
      <protection hidden="1"/>
    </xf>
    <xf numFmtId="0" fontId="1" fillId="0" borderId="0" xfId="0" applyFont="1" applyProtection="1">
      <protection hidden="1"/>
    </xf>
    <xf numFmtId="0" fontId="0" fillId="0" borderId="0" xfId="0" applyFont="1" applyProtection="1">
      <protection hidden="1"/>
    </xf>
    <xf numFmtId="0" fontId="1" fillId="0" borderId="0" xfId="0" applyFont="1" applyAlignment="1" applyProtection="1">
      <alignment horizontal="right"/>
      <protection hidden="1"/>
    </xf>
    <xf numFmtId="0" fontId="0" fillId="0" borderId="6" xfId="0" applyBorder="1" applyAlignment="1" applyProtection="1">
      <alignment horizontal="left" vertical="center" indent="1"/>
      <protection hidden="1"/>
    </xf>
    <xf numFmtId="0" fontId="0" fillId="0" borderId="34" xfId="0" applyBorder="1" applyAlignment="1" applyProtection="1">
      <alignment horizontal="left" vertical="center" indent="1"/>
      <protection hidden="1"/>
    </xf>
    <xf numFmtId="0" fontId="0" fillId="0" borderId="31" xfId="0" applyBorder="1" applyAlignment="1" applyProtection="1">
      <alignment horizontal="left" indent="1"/>
      <protection hidden="1"/>
    </xf>
    <xf numFmtId="0" fontId="0" fillId="0" borderId="34" xfId="0" applyBorder="1" applyProtection="1">
      <protection hidden="1"/>
    </xf>
    <xf numFmtId="0" fontId="0" fillId="0" borderId="31" xfId="0" applyFont="1" applyBorder="1" applyAlignment="1" applyProtection="1">
      <alignment horizontal="left" indent="1"/>
      <protection hidden="1"/>
    </xf>
    <xf numFmtId="0" fontId="0" fillId="0" borderId="0" xfId="0" applyFill="1" applyBorder="1" applyAlignment="1" applyProtection="1">
      <alignment horizontal="left" indent="1"/>
      <protection hidden="1"/>
    </xf>
    <xf numFmtId="0" fontId="0" fillId="0" borderId="25" xfId="0" applyFill="1" applyBorder="1" applyProtection="1">
      <protection hidden="1"/>
    </xf>
    <xf numFmtId="0" fontId="0" fillId="0" borderId="18" xfId="0" applyBorder="1" applyAlignment="1" applyProtection="1">
      <alignment horizontal="left" indent="1"/>
      <protection hidden="1"/>
    </xf>
    <xf numFmtId="0" fontId="0" fillId="0" borderId="34" xfId="0" applyFill="1" applyBorder="1" applyProtection="1">
      <protection hidden="1"/>
    </xf>
    <xf numFmtId="0" fontId="1" fillId="0" borderId="0" xfId="0" applyFont="1" applyFill="1" applyProtection="1">
      <protection hidden="1"/>
    </xf>
    <xf numFmtId="0" fontId="6" fillId="0" borderId="0" xfId="0" applyFont="1" applyFill="1" applyProtection="1">
      <protection hidden="1"/>
    </xf>
    <xf numFmtId="0" fontId="0" fillId="0" borderId="35" xfId="0" applyBorder="1" applyAlignment="1" applyProtection="1">
      <alignment horizontal="left" vertical="center" indent="1"/>
      <protection hidden="1"/>
    </xf>
    <xf numFmtId="0" fontId="0" fillId="0" borderId="26" xfId="0" applyBorder="1" applyAlignment="1" applyProtection="1">
      <alignment horizontal="left" vertical="center" indent="1"/>
      <protection hidden="1"/>
    </xf>
    <xf numFmtId="0" fontId="0" fillId="0" borderId="65" xfId="0" applyBorder="1" applyAlignment="1" applyProtection="1">
      <alignment horizontal="left" indent="1"/>
      <protection hidden="1"/>
    </xf>
    <xf numFmtId="0" fontId="0" fillId="0" borderId="35" xfId="0" applyBorder="1" applyAlignment="1" applyProtection="1">
      <alignment horizontal="left" indent="1"/>
      <protection hidden="1"/>
    </xf>
    <xf numFmtId="0" fontId="0" fillId="0" borderId="26" xfId="0" applyBorder="1" applyAlignment="1" applyProtection="1">
      <alignment horizontal="left" indent="1"/>
      <protection hidden="1"/>
    </xf>
    <xf numFmtId="0" fontId="0" fillId="0" borderId="6" xfId="0" applyFill="1" applyBorder="1" applyAlignment="1" applyProtection="1">
      <alignment horizontal="left" vertical="center" indent="1"/>
      <protection hidden="1"/>
    </xf>
    <xf numFmtId="0" fontId="0" fillId="0" borderId="31" xfId="0" applyBorder="1" applyAlignment="1" applyProtection="1">
      <alignment horizontal="left" vertical="center" indent="1"/>
      <protection hidden="1"/>
    </xf>
    <xf numFmtId="0" fontId="0" fillId="0" borderId="34" xfId="0" applyBorder="1" applyAlignment="1" applyProtection="1">
      <alignment horizontal="left" indent="1"/>
      <protection hidden="1"/>
    </xf>
    <xf numFmtId="0" fontId="1" fillId="0" borderId="18" xfId="0" applyFont="1" applyFill="1" applyBorder="1" applyAlignment="1" applyProtection="1">
      <alignment horizontal="right"/>
      <protection hidden="1"/>
    </xf>
    <xf numFmtId="0" fontId="0" fillId="0" borderId="18" xfId="0" applyBorder="1" applyProtection="1">
      <protection hidden="1"/>
    </xf>
    <xf numFmtId="0" fontId="0" fillId="0" borderId="61" xfId="0" applyFill="1" applyBorder="1" applyAlignment="1" applyProtection="1">
      <alignment horizontal="left" indent="1"/>
      <protection hidden="1"/>
    </xf>
    <xf numFmtId="0" fontId="0" fillId="0" borderId="25" xfId="0" applyFill="1" applyBorder="1" applyAlignment="1" applyProtection="1">
      <alignment horizontal="left" indent="1"/>
      <protection hidden="1"/>
    </xf>
    <xf numFmtId="0" fontId="0" fillId="0" borderId="31" xfId="0" applyFill="1" applyBorder="1" applyAlignment="1" applyProtection="1">
      <alignment horizontal="left" vertical="center" indent="1"/>
      <protection hidden="1"/>
    </xf>
    <xf numFmtId="0" fontId="0" fillId="0" borderId="34" xfId="0" applyFill="1" applyBorder="1" applyAlignment="1" applyProtection="1">
      <alignment horizontal="left" vertical="center" indent="1"/>
      <protection hidden="1"/>
    </xf>
    <xf numFmtId="0" fontId="29" fillId="0" borderId="0" xfId="0" applyFont="1" applyFill="1" applyBorder="1" applyAlignment="1" applyProtection="1">
      <alignment horizontal="left"/>
      <protection hidden="1"/>
    </xf>
    <xf numFmtId="0" fontId="0" fillId="0" borderId="0" xfId="0" applyFill="1" applyBorder="1" applyAlignment="1" applyProtection="1">
      <alignment horizontal="left"/>
      <protection hidden="1"/>
    </xf>
    <xf numFmtId="0" fontId="29" fillId="0" borderId="0" xfId="0" applyFont="1" applyProtection="1">
      <protection hidden="1"/>
    </xf>
    <xf numFmtId="0" fontId="0" fillId="0" borderId="65" xfId="0" applyFont="1" applyFill="1" applyBorder="1" applyAlignment="1" applyProtection="1">
      <alignment horizontal="left" vertical="center"/>
      <protection hidden="1"/>
    </xf>
    <xf numFmtId="0" fontId="0" fillId="0" borderId="35" xfId="0" applyFont="1" applyFill="1" applyBorder="1" applyAlignment="1" applyProtection="1">
      <alignment horizontal="left" vertical="center"/>
      <protection hidden="1"/>
    </xf>
    <xf numFmtId="0" fontId="0" fillId="0" borderId="26" xfId="0" applyFont="1" applyFill="1" applyBorder="1" applyAlignment="1" applyProtection="1">
      <alignment horizontal="left" vertical="center"/>
      <protection hidden="1"/>
    </xf>
    <xf numFmtId="0" fontId="0" fillId="0" borderId="1" xfId="0" applyBorder="1" applyAlignment="1" applyProtection="1">
      <alignment horizontal="left" vertical="center" indent="1"/>
      <protection hidden="1"/>
    </xf>
    <xf numFmtId="0" fontId="0" fillId="0" borderId="6" xfId="0" applyBorder="1" applyProtection="1">
      <protection hidden="1"/>
    </xf>
    <xf numFmtId="0" fontId="0" fillId="0" borderId="31" xfId="0" applyFill="1" applyBorder="1" applyProtection="1">
      <protection hidden="1"/>
    </xf>
    <xf numFmtId="0" fontId="0" fillId="5" borderId="1" xfId="0" applyFont="1" applyFill="1" applyBorder="1" applyAlignment="1" applyProtection="1">
      <alignment horizontal="left" vertical="center" indent="1"/>
      <protection hidden="1"/>
    </xf>
    <xf numFmtId="0" fontId="0" fillId="5" borderId="1" xfId="0" applyFill="1" applyBorder="1" applyAlignment="1" applyProtection="1">
      <alignment horizontal="left" vertical="center" indent="1"/>
      <protection hidden="1"/>
    </xf>
    <xf numFmtId="0" fontId="0" fillId="0" borderId="65" xfId="0" applyFill="1" applyBorder="1" applyAlignment="1" applyProtection="1">
      <alignment horizontal="left" vertical="center" indent="1"/>
      <protection hidden="1"/>
    </xf>
    <xf numFmtId="0" fontId="0" fillId="0" borderId="59" xfId="0" applyFill="1" applyBorder="1" applyAlignment="1" applyProtection="1">
      <alignment horizontal="left" vertical="center" indent="1"/>
      <protection hidden="1"/>
    </xf>
    <xf numFmtId="0" fontId="0" fillId="0" borderId="61" xfId="0" applyFill="1" applyBorder="1" applyAlignment="1" applyProtection="1">
      <alignment horizontal="left" vertical="center" indent="1"/>
      <protection hidden="1"/>
    </xf>
    <xf numFmtId="0" fontId="0" fillId="0" borderId="0" xfId="0" applyFill="1" applyBorder="1" applyAlignment="1" applyProtection="1">
      <alignment horizontal="left" vertical="center" indent="1"/>
      <protection hidden="1"/>
    </xf>
    <xf numFmtId="0" fontId="0" fillId="0" borderId="25" xfId="0" applyFill="1" applyBorder="1" applyAlignment="1" applyProtection="1">
      <alignment horizontal="left" vertical="center" indent="1"/>
      <protection hidden="1"/>
    </xf>
    <xf numFmtId="0" fontId="0" fillId="0" borderId="59" xfId="0" applyFont="1" applyFill="1" applyBorder="1" applyAlignment="1" applyProtection="1">
      <alignment horizontal="left" vertical="center" indent="1"/>
      <protection hidden="1"/>
    </xf>
    <xf numFmtId="0" fontId="0" fillId="0" borderId="18" xfId="0" applyFont="1" applyFill="1" applyBorder="1" applyAlignment="1" applyProtection="1">
      <alignment horizontal="left" vertical="center" indent="1"/>
      <protection hidden="1"/>
    </xf>
    <xf numFmtId="0" fontId="0" fillId="0" borderId="20" xfId="0" applyFont="1" applyFill="1" applyBorder="1" applyAlignment="1" applyProtection="1">
      <alignment horizontal="left" vertical="center" indent="1"/>
      <protection hidden="1"/>
    </xf>
    <xf numFmtId="0" fontId="0" fillId="0" borderId="6" xfId="0" applyFill="1" applyBorder="1" applyAlignment="1" applyProtection="1">
      <alignment horizontal="left" indent="1"/>
      <protection hidden="1"/>
    </xf>
    <xf numFmtId="0" fontId="0" fillId="0" borderId="31" xfId="0" applyFill="1" applyBorder="1" applyAlignment="1" applyProtection="1">
      <alignment horizontal="left" indent="1"/>
      <protection hidden="1"/>
    </xf>
    <xf numFmtId="0" fontId="0" fillId="0" borderId="34" xfId="0" applyFill="1" applyBorder="1" applyAlignment="1" applyProtection="1">
      <alignment horizontal="left" indent="1"/>
      <protection hidden="1"/>
    </xf>
    <xf numFmtId="0" fontId="0" fillId="0" borderId="0" xfId="0"/>
    <xf numFmtId="0" fontId="6" fillId="0" borderId="0" xfId="0" applyFont="1" applyFill="1" applyAlignment="1" applyProtection="1">
      <alignment horizontal="left"/>
      <protection hidden="1"/>
    </xf>
    <xf numFmtId="0" fontId="3" fillId="0" borderId="5" xfId="0" applyFont="1" applyFill="1" applyBorder="1" applyAlignment="1" applyProtection="1">
      <protection hidden="1"/>
    </xf>
    <xf numFmtId="0" fontId="0" fillId="0" borderId="0" xfId="0" applyFill="1" applyProtection="1"/>
    <xf numFmtId="0" fontId="6" fillId="0" borderId="0" xfId="0" applyFont="1" applyProtection="1">
      <protection hidden="1"/>
    </xf>
    <xf numFmtId="0" fontId="8" fillId="0" borderId="0" xfId="1" applyFont="1" applyFill="1" applyBorder="1" applyAlignment="1" applyProtection="1">
      <alignment vertical="center"/>
      <protection hidden="1"/>
    </xf>
    <xf numFmtId="0" fontId="7" fillId="0" borderId="0" xfId="0" applyFont="1" applyFill="1" applyProtection="1">
      <protection hidden="1"/>
    </xf>
    <xf numFmtId="0" fontId="7" fillId="0" borderId="0" xfId="0" applyFont="1" applyProtection="1">
      <protection hidden="1"/>
    </xf>
    <xf numFmtId="0" fontId="7" fillId="0" borderId="0" xfId="0" applyFont="1" applyFill="1" applyAlignment="1" applyProtection="1">
      <protection hidden="1"/>
    </xf>
    <xf numFmtId="0" fontId="7" fillId="0" borderId="0" xfId="0" applyFont="1" applyFill="1" applyAlignment="1" applyProtection="1">
      <alignment horizontal="center"/>
      <protection hidden="1"/>
    </xf>
    <xf numFmtId="0" fontId="24" fillId="0" borderId="0" xfId="1" applyFont="1" applyFill="1" applyAlignment="1" applyProtection="1">
      <alignment horizontal="left"/>
      <protection hidden="1"/>
    </xf>
    <xf numFmtId="0" fontId="26" fillId="2" borderId="40" xfId="0" applyFont="1" applyFill="1" applyBorder="1" applyAlignment="1" applyProtection="1">
      <alignment horizontal="center"/>
      <protection hidden="1"/>
    </xf>
    <xf numFmtId="0" fontId="9" fillId="0" borderId="19" xfId="0" applyFont="1" applyBorder="1" applyProtection="1">
      <protection hidden="1"/>
    </xf>
    <xf numFmtId="0" fontId="7" fillId="0" borderId="43" xfId="0" applyFont="1" applyBorder="1" applyAlignment="1" applyProtection="1">
      <alignment horizontal="center"/>
      <protection hidden="1"/>
    </xf>
    <xf numFmtId="0" fontId="7" fillId="0" borderId="0" xfId="0" applyFont="1" applyBorder="1" applyAlignment="1" applyProtection="1">
      <alignment horizontal="center"/>
      <protection hidden="1"/>
    </xf>
    <xf numFmtId="0" fontId="9" fillId="0" borderId="28" xfId="0" applyFont="1" applyBorder="1" applyProtection="1">
      <protection hidden="1"/>
    </xf>
    <xf numFmtId="0" fontId="7" fillId="0" borderId="1" xfId="0" applyFont="1" applyBorder="1" applyAlignment="1" applyProtection="1">
      <alignment horizontal="center"/>
      <protection hidden="1"/>
    </xf>
    <xf numFmtId="0" fontId="7" fillId="0" borderId="31" xfId="0" applyFont="1" applyBorder="1" applyAlignment="1" applyProtection="1">
      <alignment horizontal="center"/>
      <protection hidden="1"/>
    </xf>
    <xf numFmtId="0" fontId="9" fillId="0" borderId="28" xfId="0" applyFont="1" applyFill="1" applyBorder="1" applyAlignment="1" applyProtection="1">
      <protection hidden="1"/>
    </xf>
    <xf numFmtId="0" fontId="9" fillId="0" borderId="19" xfId="0" applyFont="1" applyFill="1" applyBorder="1" applyAlignment="1" applyProtection="1">
      <alignment horizontal="left"/>
      <protection hidden="1"/>
    </xf>
    <xf numFmtId="0" fontId="9" fillId="0" borderId="19" xfId="0" applyFont="1" applyBorder="1" applyAlignment="1" applyProtection="1">
      <protection hidden="1"/>
    </xf>
    <xf numFmtId="0" fontId="9" fillId="0" borderId="19" xfId="0" applyFont="1" applyFill="1" applyBorder="1" applyAlignment="1" applyProtection="1">
      <protection hidden="1"/>
    </xf>
    <xf numFmtId="0" fontId="9" fillId="0" borderId="28" xfId="0" applyFont="1" applyFill="1" applyBorder="1" applyAlignment="1" applyProtection="1">
      <alignment horizontal="left"/>
      <protection hidden="1"/>
    </xf>
    <xf numFmtId="0" fontId="7" fillId="0" borderId="1" xfId="0" applyFont="1" applyBorder="1" applyAlignment="1" applyProtection="1">
      <alignment horizontal="center" wrapText="1"/>
      <protection hidden="1"/>
    </xf>
    <xf numFmtId="0" fontId="9" fillId="0" borderId="23" xfId="0" applyFont="1" applyFill="1" applyBorder="1" applyAlignment="1" applyProtection="1">
      <protection hidden="1"/>
    </xf>
    <xf numFmtId="0" fontId="7" fillId="0" borderId="16" xfId="0" applyFont="1" applyBorder="1" applyAlignment="1" applyProtection="1">
      <alignment horizontal="center"/>
      <protection hidden="1"/>
    </xf>
    <xf numFmtId="0" fontId="7" fillId="0" borderId="5" xfId="0" applyFont="1" applyBorder="1" applyAlignment="1" applyProtection="1">
      <alignment horizontal="center"/>
      <protection hidden="1"/>
    </xf>
    <xf numFmtId="0" fontId="9" fillId="0" borderId="0" xfId="0" applyFont="1" applyFill="1" applyAlignment="1" applyProtection="1">
      <alignment horizontal="left"/>
      <protection hidden="1"/>
    </xf>
    <xf numFmtId="0" fontId="24" fillId="0" borderId="0" xfId="1" quotePrefix="1" applyFont="1" applyFill="1" applyAlignment="1" applyProtection="1">
      <protection hidden="1"/>
    </xf>
    <xf numFmtId="0" fontId="24" fillId="0" borderId="0" xfId="1" quotePrefix="1" applyFont="1" applyFill="1" applyAlignment="1" applyProtection="1">
      <alignment horizontal="left"/>
      <protection hidden="1"/>
    </xf>
    <xf numFmtId="0" fontId="9" fillId="0" borderId="0" xfId="0" applyFont="1" applyFill="1" applyBorder="1" applyAlignment="1" applyProtection="1">
      <alignment horizontal="left" vertical="center"/>
      <protection hidden="1"/>
    </xf>
    <xf numFmtId="0" fontId="13" fillId="0" borderId="0" xfId="0" quotePrefix="1" applyFont="1" applyFill="1" applyBorder="1" applyAlignment="1" applyProtection="1">
      <alignment horizontal="right" vertical="center"/>
      <protection hidden="1"/>
    </xf>
    <xf numFmtId="0" fontId="7" fillId="11" borderId="54" xfId="0" applyFont="1" applyFill="1" applyBorder="1" applyAlignment="1" applyProtection="1">
      <alignment horizontal="center" vertical="center"/>
      <protection hidden="1"/>
    </xf>
    <xf numFmtId="0" fontId="7" fillId="4" borderId="55" xfId="0" applyFont="1" applyFill="1" applyBorder="1" applyAlignment="1" applyProtection="1">
      <alignment horizontal="center" vertical="center"/>
      <protection hidden="1"/>
    </xf>
    <xf numFmtId="0" fontId="7" fillId="3" borderId="55" xfId="0" applyFont="1" applyFill="1" applyBorder="1" applyAlignment="1" applyProtection="1">
      <alignment horizontal="center" vertical="center"/>
      <protection hidden="1"/>
    </xf>
    <xf numFmtId="0" fontId="13" fillId="0" borderId="0" xfId="0" applyFont="1" applyFill="1" applyBorder="1" applyAlignment="1" applyProtection="1">
      <alignment horizontal="right" vertical="center"/>
      <protection hidden="1"/>
    </xf>
    <xf numFmtId="0" fontId="7" fillId="7" borderId="55" xfId="0" applyFont="1" applyFill="1" applyBorder="1" applyAlignment="1" applyProtection="1">
      <alignment horizontal="center"/>
      <protection hidden="1"/>
    </xf>
    <xf numFmtId="0" fontId="36" fillId="9" borderId="56" xfId="0" applyFont="1" applyFill="1" applyBorder="1" applyAlignment="1" applyProtection="1">
      <alignment horizontal="center"/>
      <protection hidden="1"/>
    </xf>
    <xf numFmtId="0" fontId="9" fillId="0" borderId="0" xfId="0" applyFont="1" applyFill="1" applyProtection="1">
      <protection hidden="1"/>
    </xf>
    <xf numFmtId="0" fontId="37" fillId="0" borderId="0" xfId="0" applyFont="1" applyProtection="1">
      <protection hidden="1"/>
    </xf>
    <xf numFmtId="0" fontId="0" fillId="0" borderId="0" xfId="0" applyAlignment="1" applyProtection="1">
      <alignment horizontal="center"/>
      <protection hidden="1"/>
    </xf>
    <xf numFmtId="0" fontId="5" fillId="0" borderId="0" xfId="1" applyFont="1" applyFill="1" applyBorder="1" applyAlignment="1" applyProtection="1">
      <alignment horizontal="center" vertical="center"/>
      <protection hidden="1"/>
    </xf>
    <xf numFmtId="0" fontId="5" fillId="0" borderId="0" xfId="1" applyFont="1" applyFill="1" applyAlignment="1" applyProtection="1">
      <alignment horizontal="left"/>
      <protection hidden="1"/>
    </xf>
    <xf numFmtId="0" fontId="24" fillId="0" borderId="0" xfId="1" applyFont="1" applyFill="1" applyBorder="1" applyAlignment="1" applyProtection="1">
      <alignment horizontal="right" vertical="center"/>
      <protection hidden="1"/>
    </xf>
    <xf numFmtId="0" fontId="24" fillId="0" borderId="0" xfId="1" applyFont="1" applyFill="1" applyProtection="1">
      <protection hidden="1"/>
    </xf>
    <xf numFmtId="0" fontId="12" fillId="0" borderId="18" xfId="0" applyFont="1" applyBorder="1" applyAlignment="1" applyProtection="1">
      <protection hidden="1"/>
    </xf>
    <xf numFmtId="0" fontId="0" fillId="0" borderId="0" xfId="0" applyBorder="1" applyAlignment="1" applyProtection="1">
      <alignment horizontal="center"/>
      <protection hidden="1"/>
    </xf>
    <xf numFmtId="0" fontId="0" fillId="0" borderId="0" xfId="0" applyFont="1" applyFill="1" applyBorder="1" applyAlignment="1" applyProtection="1">
      <alignment horizontal="center"/>
      <protection hidden="1"/>
    </xf>
    <xf numFmtId="0" fontId="1" fillId="0" borderId="6" xfId="0" applyFont="1" applyBorder="1" applyAlignment="1" applyProtection="1">
      <alignment horizontal="center"/>
      <protection hidden="1"/>
    </xf>
    <xf numFmtId="0" fontId="1" fillId="0" borderId="31" xfId="0" applyFont="1" applyBorder="1" applyAlignment="1" applyProtection="1">
      <alignment horizontal="center"/>
      <protection hidden="1"/>
    </xf>
    <xf numFmtId="0" fontId="1" fillId="0" borderId="7" xfId="0" applyFont="1" applyBorder="1" applyAlignment="1" applyProtection="1">
      <alignment horizontal="center"/>
      <protection hidden="1"/>
    </xf>
    <xf numFmtId="0" fontId="1" fillId="0" borderId="17"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0" fillId="0" borderId="18" xfId="0" applyFont="1" applyBorder="1" applyAlignment="1" applyProtection="1">
      <alignment horizontal="left"/>
      <protection hidden="1"/>
    </xf>
    <xf numFmtId="49" fontId="0" fillId="4" borderId="31" xfId="0" applyNumberFormat="1" applyFont="1" applyFill="1" applyBorder="1" applyAlignment="1" applyProtection="1">
      <alignment horizontal="center"/>
      <protection hidden="1"/>
    </xf>
    <xf numFmtId="49" fontId="0" fillId="4" borderId="7" xfId="0" applyNumberFormat="1" applyFont="1" applyFill="1" applyBorder="1" applyAlignment="1" applyProtection="1">
      <alignment horizontal="center"/>
      <protection hidden="1"/>
    </xf>
    <xf numFmtId="0" fontId="0" fillId="4" borderId="7" xfId="0" applyNumberFormat="1" applyFont="1" applyFill="1" applyBorder="1" applyAlignment="1" applyProtection="1">
      <alignment horizontal="center"/>
      <protection hidden="1"/>
    </xf>
    <xf numFmtId="0" fontId="0" fillId="4" borderId="31" xfId="0" applyNumberFormat="1" applyFont="1" applyFill="1" applyBorder="1" applyAlignment="1" applyProtection="1">
      <alignment horizontal="center"/>
      <protection hidden="1"/>
    </xf>
    <xf numFmtId="49" fontId="0" fillId="4" borderId="17" xfId="0" applyNumberFormat="1" applyFont="1" applyFill="1" applyBorder="1" applyAlignment="1" applyProtection="1">
      <alignment horizontal="center"/>
      <protection hidden="1"/>
    </xf>
    <xf numFmtId="0" fontId="0" fillId="4" borderId="0" xfId="0" applyFont="1" applyFill="1" applyAlignment="1" applyProtection="1">
      <alignment horizontal="center"/>
      <protection hidden="1"/>
    </xf>
    <xf numFmtId="0" fontId="0" fillId="4" borderId="0" xfId="0" applyNumberFormat="1" applyFont="1" applyFill="1" applyAlignment="1" applyProtection="1">
      <alignment horizontal="center"/>
      <protection hidden="1"/>
    </xf>
    <xf numFmtId="0" fontId="0" fillId="0" borderId="0" xfId="0" quotePrefix="1" applyProtection="1">
      <protection hidden="1"/>
    </xf>
    <xf numFmtId="0" fontId="0" fillId="0" borderId="34" xfId="0" applyFont="1" applyBorder="1" applyAlignment="1" applyProtection="1">
      <alignment horizontal="left"/>
      <protection hidden="1"/>
    </xf>
    <xf numFmtId="49" fontId="0" fillId="4" borderId="6" xfId="0" applyNumberFormat="1" applyFill="1" applyBorder="1" applyAlignment="1" applyProtection="1">
      <alignment horizontal="center"/>
      <protection hidden="1"/>
    </xf>
    <xf numFmtId="49" fontId="0" fillId="4" borderId="31" xfId="0" applyNumberFormat="1" applyFill="1" applyBorder="1" applyAlignment="1" applyProtection="1">
      <alignment horizontal="center"/>
      <protection hidden="1"/>
    </xf>
    <xf numFmtId="10" fontId="15" fillId="4" borderId="31" xfId="0" applyNumberFormat="1" applyFont="1" applyFill="1" applyBorder="1" applyAlignment="1" applyProtection="1">
      <alignment horizontal="center"/>
      <protection hidden="1"/>
    </xf>
    <xf numFmtId="165" fontId="15" fillId="4" borderId="31" xfId="0" applyNumberFormat="1" applyFont="1" applyFill="1" applyBorder="1" applyAlignment="1" applyProtection="1">
      <alignment horizontal="center"/>
      <protection hidden="1"/>
    </xf>
    <xf numFmtId="167" fontId="15" fillId="4" borderId="31" xfId="0" applyNumberFormat="1" applyFont="1" applyFill="1" applyBorder="1" applyAlignment="1" applyProtection="1">
      <alignment horizontal="center"/>
      <protection hidden="1"/>
    </xf>
    <xf numFmtId="174" fontId="16" fillId="4" borderId="31" xfId="0" applyNumberFormat="1" applyFont="1" applyFill="1" applyBorder="1" applyAlignment="1" applyProtection="1">
      <alignment horizontal="center"/>
      <protection hidden="1"/>
    </xf>
    <xf numFmtId="174" fontId="2" fillId="4" borderId="35" xfId="0" applyNumberFormat="1" applyFont="1" applyFill="1" applyBorder="1" applyAlignment="1" applyProtection="1">
      <alignment horizontal="center"/>
      <protection hidden="1"/>
    </xf>
    <xf numFmtId="175" fontId="16" fillId="4" borderId="35" xfId="0" applyNumberFormat="1" applyFont="1" applyFill="1" applyBorder="1" applyAlignment="1" applyProtection="1">
      <alignment horizontal="center"/>
      <protection hidden="1"/>
    </xf>
    <xf numFmtId="171" fontId="2" fillId="4" borderId="31" xfId="0" applyNumberFormat="1" applyFont="1" applyFill="1" applyBorder="1" applyAlignment="1" applyProtection="1">
      <alignment horizontal="center"/>
      <protection hidden="1"/>
    </xf>
    <xf numFmtId="171" fontId="2" fillId="4" borderId="35" xfId="0" applyNumberFormat="1" applyFont="1" applyFill="1" applyBorder="1" applyAlignment="1" applyProtection="1">
      <alignment horizontal="center"/>
      <protection hidden="1"/>
    </xf>
    <xf numFmtId="181" fontId="2" fillId="4" borderId="18" xfId="0" applyNumberFormat="1" applyFont="1" applyFill="1" applyBorder="1" applyAlignment="1" applyProtection="1">
      <alignment horizontal="center"/>
      <protection hidden="1"/>
    </xf>
    <xf numFmtId="168" fontId="0" fillId="4" borderId="17" xfId="0" applyNumberFormat="1" applyFont="1" applyFill="1" applyBorder="1" applyAlignment="1" applyProtection="1">
      <alignment horizontal="center"/>
      <protection hidden="1"/>
    </xf>
    <xf numFmtId="0" fontId="15" fillId="4" borderId="0" xfId="0" applyNumberFormat="1" applyFont="1" applyFill="1" applyAlignment="1" applyProtection="1">
      <alignment horizontal="center"/>
      <protection hidden="1"/>
    </xf>
    <xf numFmtId="174" fontId="2" fillId="4" borderId="31" xfId="0" applyNumberFormat="1" applyFont="1" applyFill="1" applyBorder="1" applyAlignment="1" applyProtection="1">
      <alignment horizontal="center"/>
      <protection hidden="1"/>
    </xf>
    <xf numFmtId="171" fontId="16" fillId="4" borderId="31" xfId="0" applyNumberFormat="1" applyFont="1" applyFill="1" applyBorder="1" applyAlignment="1" applyProtection="1">
      <alignment horizontal="center"/>
      <protection hidden="1"/>
    </xf>
    <xf numFmtId="0" fontId="28" fillId="4" borderId="0" xfId="0" applyNumberFormat="1" applyFont="1" applyFill="1" applyAlignment="1" applyProtection="1">
      <alignment horizontal="center"/>
      <protection hidden="1"/>
    </xf>
    <xf numFmtId="0" fontId="0" fillId="0" borderId="7" xfId="0" applyFont="1" applyBorder="1" applyAlignment="1" applyProtection="1">
      <alignment horizontal="left"/>
      <protection hidden="1"/>
    </xf>
    <xf numFmtId="49" fontId="0" fillId="4" borderId="18" xfId="0" applyNumberFormat="1" applyFill="1" applyBorder="1" applyAlignment="1" applyProtection="1">
      <alignment horizontal="center"/>
      <protection hidden="1"/>
    </xf>
    <xf numFmtId="0" fontId="0" fillId="0" borderId="17" xfId="0" applyFont="1" applyBorder="1" applyAlignment="1" applyProtection="1">
      <alignment horizontal="left"/>
      <protection hidden="1"/>
    </xf>
    <xf numFmtId="10" fontId="0" fillId="4" borderId="31" xfId="0" applyNumberFormat="1" applyFont="1" applyFill="1" applyBorder="1" applyAlignment="1" applyProtection="1">
      <alignment horizontal="center"/>
      <protection hidden="1"/>
    </xf>
    <xf numFmtId="10" fontId="0" fillId="4" borderId="7" xfId="0" applyNumberFormat="1" applyFont="1" applyFill="1" applyBorder="1" applyAlignment="1" applyProtection="1">
      <alignment horizontal="center"/>
      <protection hidden="1"/>
    </xf>
    <xf numFmtId="165" fontId="0" fillId="4" borderId="7" xfId="0" applyNumberFormat="1" applyFont="1" applyFill="1" applyBorder="1" applyAlignment="1" applyProtection="1">
      <alignment horizontal="center"/>
      <protection hidden="1"/>
    </xf>
    <xf numFmtId="167" fontId="0" fillId="4" borderId="7" xfId="0" applyNumberFormat="1" applyFont="1" applyFill="1" applyBorder="1" applyAlignment="1" applyProtection="1">
      <alignment horizontal="center"/>
      <protection hidden="1"/>
    </xf>
    <xf numFmtId="174" fontId="2" fillId="4" borderId="7" xfId="0" applyNumberFormat="1" applyFont="1" applyFill="1" applyBorder="1" applyAlignment="1" applyProtection="1">
      <alignment horizontal="center"/>
      <protection hidden="1"/>
    </xf>
    <xf numFmtId="168" fontId="0" fillId="4" borderId="34" xfId="0" applyNumberFormat="1" applyFont="1" applyFill="1" applyBorder="1" applyAlignment="1" applyProtection="1">
      <alignment horizontal="center"/>
      <protection hidden="1"/>
    </xf>
    <xf numFmtId="0" fontId="0" fillId="0" borderId="20" xfId="0" applyFont="1" applyBorder="1" applyAlignment="1" applyProtection="1">
      <alignment horizontal="left"/>
      <protection hidden="1"/>
    </xf>
    <xf numFmtId="165" fontId="0" fillId="4" borderId="31" xfId="0" applyNumberFormat="1" applyFont="1" applyFill="1" applyBorder="1" applyAlignment="1" applyProtection="1">
      <alignment horizontal="center"/>
      <protection hidden="1"/>
    </xf>
    <xf numFmtId="167" fontId="0" fillId="4" borderId="31" xfId="0" applyNumberFormat="1" applyFont="1" applyFill="1" applyBorder="1" applyAlignment="1" applyProtection="1">
      <alignment horizontal="center"/>
      <protection hidden="1"/>
    </xf>
    <xf numFmtId="0" fontId="0" fillId="0" borderId="6" xfId="0" applyFont="1" applyBorder="1" applyAlignment="1" applyProtection="1">
      <alignment horizontal="left"/>
      <protection hidden="1"/>
    </xf>
    <xf numFmtId="10" fontId="0" fillId="4" borderId="21" xfId="0" applyNumberFormat="1" applyFont="1" applyFill="1" applyBorder="1" applyAlignment="1" applyProtection="1">
      <alignment horizontal="center"/>
      <protection hidden="1"/>
    </xf>
    <xf numFmtId="168" fontId="0" fillId="4" borderId="26" xfId="0" applyNumberFormat="1" applyFont="1" applyFill="1" applyBorder="1" applyAlignment="1" applyProtection="1">
      <alignment horizontal="center"/>
      <protection hidden="1"/>
    </xf>
    <xf numFmtId="0" fontId="0" fillId="0" borderId="6" xfId="0" applyBorder="1" applyAlignment="1" applyProtection="1">
      <alignment horizontal="left"/>
      <protection hidden="1"/>
    </xf>
    <xf numFmtId="10" fontId="15" fillId="4" borderId="21" xfId="0" applyNumberFormat="1" applyFont="1" applyFill="1" applyBorder="1" applyAlignment="1" applyProtection="1">
      <alignment horizontal="center"/>
      <protection hidden="1"/>
    </xf>
    <xf numFmtId="167" fontId="15" fillId="4" borderId="21" xfId="0" applyNumberFormat="1" applyFont="1" applyFill="1" applyBorder="1" applyAlignment="1" applyProtection="1">
      <alignment horizontal="center"/>
      <protection hidden="1"/>
    </xf>
    <xf numFmtId="174" fontId="16" fillId="4" borderId="21" xfId="0" applyNumberFormat="1" applyFont="1" applyFill="1" applyBorder="1" applyAlignment="1" applyProtection="1">
      <alignment horizontal="center"/>
      <protection hidden="1"/>
    </xf>
    <xf numFmtId="176" fontId="0" fillId="4" borderId="34" xfId="0" applyNumberFormat="1" applyFont="1" applyFill="1" applyBorder="1" applyAlignment="1" applyProtection="1">
      <alignment horizontal="center"/>
      <protection hidden="1"/>
    </xf>
    <xf numFmtId="10" fontId="15" fillId="4" borderId="7" xfId="0" applyNumberFormat="1" applyFont="1" applyFill="1" applyBorder="1" applyAlignment="1" applyProtection="1">
      <alignment horizontal="center"/>
      <protection hidden="1"/>
    </xf>
    <xf numFmtId="168" fontId="15" fillId="4" borderId="34" xfId="0" applyNumberFormat="1" applyFont="1" applyFill="1" applyBorder="1" applyAlignment="1" applyProtection="1">
      <alignment horizontal="center"/>
      <protection hidden="1"/>
    </xf>
    <xf numFmtId="174" fontId="16" fillId="4" borderId="35" xfId="0" applyNumberFormat="1" applyFont="1" applyFill="1" applyBorder="1" applyAlignment="1" applyProtection="1">
      <alignment horizontal="center"/>
      <protection hidden="1"/>
    </xf>
    <xf numFmtId="171" fontId="16" fillId="4" borderId="35" xfId="0" applyNumberFormat="1" applyFont="1" applyFill="1" applyBorder="1" applyAlignment="1" applyProtection="1">
      <alignment horizontal="center"/>
      <protection hidden="1"/>
    </xf>
    <xf numFmtId="49" fontId="15" fillId="4" borderId="6" xfId="0" applyNumberFormat="1" applyFont="1" applyFill="1" applyBorder="1" applyAlignment="1" applyProtection="1">
      <alignment horizontal="center"/>
      <protection hidden="1"/>
    </xf>
    <xf numFmtId="164" fontId="15" fillId="4" borderId="21" xfId="0" applyNumberFormat="1" applyFont="1" applyFill="1" applyBorder="1" applyAlignment="1" applyProtection="1">
      <alignment horizontal="center"/>
      <protection hidden="1"/>
    </xf>
    <xf numFmtId="173" fontId="15" fillId="4" borderId="21" xfId="0" applyNumberFormat="1" applyFont="1" applyFill="1" applyBorder="1" applyAlignment="1" applyProtection="1">
      <alignment horizontal="center"/>
      <protection hidden="1"/>
    </xf>
    <xf numFmtId="172" fontId="15" fillId="4" borderId="26" xfId="0" applyNumberFormat="1" applyFont="1" applyFill="1" applyBorder="1" applyAlignment="1" applyProtection="1">
      <alignment horizontal="center"/>
      <protection hidden="1"/>
    </xf>
    <xf numFmtId="175" fontId="2" fillId="4" borderId="35" xfId="0" applyNumberFormat="1" applyFont="1" applyFill="1" applyBorder="1" applyAlignment="1" applyProtection="1">
      <alignment horizontal="center"/>
      <protection hidden="1"/>
    </xf>
    <xf numFmtId="0" fontId="0" fillId="0" borderId="0" xfId="0" applyAlignment="1" applyProtection="1">
      <alignment horizontal="left"/>
      <protection hidden="1"/>
    </xf>
    <xf numFmtId="165" fontId="0" fillId="0" borderId="0" xfId="0" applyNumberFormat="1" applyAlignment="1" applyProtection="1">
      <alignment horizontal="center"/>
      <protection hidden="1"/>
    </xf>
    <xf numFmtId="166" fontId="0" fillId="0" borderId="0" xfId="0" applyNumberFormat="1" applyAlignment="1" applyProtection="1">
      <alignment horizontal="center"/>
      <protection hidden="1"/>
    </xf>
    <xf numFmtId="167" fontId="0" fillId="0" borderId="0" xfId="0" applyNumberFormat="1" applyAlignment="1" applyProtection="1">
      <alignment horizontal="center"/>
      <protection hidden="1"/>
    </xf>
    <xf numFmtId="174" fontId="0" fillId="0" borderId="0" xfId="0" applyNumberFormat="1" applyAlignment="1" applyProtection="1">
      <alignment horizontal="center"/>
      <protection hidden="1"/>
    </xf>
    <xf numFmtId="171" fontId="0" fillId="0" borderId="0" xfId="0" applyNumberFormat="1" applyAlignment="1" applyProtection="1">
      <alignment horizontal="center"/>
      <protection hidden="1"/>
    </xf>
    <xf numFmtId="175" fontId="0" fillId="0" borderId="0" xfId="0" applyNumberFormat="1" applyAlignment="1" applyProtection="1">
      <alignment horizontal="center"/>
      <protection hidden="1"/>
    </xf>
    <xf numFmtId="168" fontId="0" fillId="0" borderId="0" xfId="0" applyNumberFormat="1" applyAlignment="1" applyProtection="1">
      <alignment horizontal="center"/>
      <protection hidden="1"/>
    </xf>
    <xf numFmtId="0" fontId="0" fillId="0" borderId="0" xfId="0" applyNumberFormat="1" applyAlignment="1" applyProtection="1">
      <alignment horizontal="left"/>
      <protection hidden="1"/>
    </xf>
    <xf numFmtId="0" fontId="0" fillId="0" borderId="0" xfId="0" applyNumberFormat="1" applyAlignment="1" applyProtection="1">
      <alignment horizontal="center"/>
      <protection hidden="1"/>
    </xf>
    <xf numFmtId="0" fontId="0" fillId="0" borderId="43" xfId="0" applyBorder="1" applyProtection="1">
      <protection hidden="1"/>
    </xf>
    <xf numFmtId="0" fontId="17" fillId="5" borderId="33" xfId="0" applyFont="1" applyFill="1" applyBorder="1" applyAlignment="1" applyProtection="1">
      <alignment horizontal="center" vertical="center" wrapText="1"/>
      <protection hidden="1"/>
    </xf>
    <xf numFmtId="0" fontId="0" fillId="0" borderId="0" xfId="0" applyProtection="1">
      <protection hidden="1"/>
    </xf>
    <xf numFmtId="10" fontId="38" fillId="4" borderId="31" xfId="0" applyNumberFormat="1" applyFont="1" applyFill="1" applyBorder="1" applyAlignment="1" applyProtection="1">
      <alignment horizontal="center"/>
      <protection hidden="1"/>
    </xf>
    <xf numFmtId="165" fontId="38" fillId="4" borderId="31" xfId="0" applyNumberFormat="1" applyFont="1" applyFill="1" applyBorder="1" applyAlignment="1" applyProtection="1">
      <alignment horizontal="center"/>
      <protection hidden="1"/>
    </xf>
    <xf numFmtId="167" fontId="38" fillId="4" borderId="31" xfId="0" applyNumberFormat="1" applyFont="1" applyFill="1" applyBorder="1" applyAlignment="1" applyProtection="1">
      <alignment horizontal="center"/>
      <protection hidden="1"/>
    </xf>
    <xf numFmtId="174" fontId="39" fillId="4" borderId="31" xfId="0" applyNumberFormat="1" applyFont="1" applyFill="1" applyBorder="1" applyAlignment="1" applyProtection="1">
      <alignment horizontal="center"/>
      <protection hidden="1"/>
    </xf>
    <xf numFmtId="171" fontId="39" fillId="4" borderId="31" xfId="0" applyNumberFormat="1" applyFont="1" applyFill="1" applyBorder="1" applyAlignment="1" applyProtection="1">
      <alignment horizontal="center"/>
      <protection hidden="1"/>
    </xf>
    <xf numFmtId="171" fontId="39" fillId="4" borderId="35" xfId="0" applyNumberFormat="1" applyFont="1" applyFill="1" applyBorder="1" applyAlignment="1" applyProtection="1">
      <alignment horizontal="center"/>
      <protection hidden="1"/>
    </xf>
    <xf numFmtId="0" fontId="38" fillId="4" borderId="0" xfId="0" applyNumberFormat="1" applyFont="1" applyFill="1" applyAlignment="1" applyProtection="1">
      <alignment horizontal="center"/>
      <protection hidden="1"/>
    </xf>
    <xf numFmtId="164" fontId="38" fillId="4" borderId="31" xfId="0" applyNumberFormat="1" applyFont="1" applyFill="1" applyBorder="1" applyAlignment="1" applyProtection="1">
      <alignment horizontal="center"/>
      <protection hidden="1"/>
    </xf>
    <xf numFmtId="164" fontId="0" fillId="4" borderId="31" xfId="0" applyNumberFormat="1" applyFont="1" applyFill="1" applyBorder="1" applyAlignment="1" applyProtection="1">
      <alignment horizontal="center"/>
      <protection hidden="1"/>
    </xf>
    <xf numFmtId="175" fontId="39" fillId="4" borderId="35" xfId="0" applyNumberFormat="1" applyFont="1" applyFill="1" applyBorder="1" applyAlignment="1" applyProtection="1">
      <alignment horizontal="center"/>
      <protection hidden="1"/>
    </xf>
    <xf numFmtId="172" fontId="38" fillId="4" borderId="34" xfId="0" applyNumberFormat="1" applyFont="1" applyFill="1" applyBorder="1" applyAlignment="1" applyProtection="1">
      <alignment horizontal="center"/>
      <protection hidden="1"/>
    </xf>
    <xf numFmtId="164" fontId="15" fillId="4" borderId="31" xfId="0" applyNumberFormat="1" applyFont="1" applyFill="1" applyBorder="1" applyAlignment="1" applyProtection="1">
      <alignment horizontal="center"/>
      <protection hidden="1"/>
    </xf>
    <xf numFmtId="0" fontId="41" fillId="0" borderId="38" xfId="0" applyFont="1" applyFill="1" applyBorder="1" applyAlignment="1" applyProtection="1">
      <alignment horizontal="left" vertical="center"/>
      <protection hidden="1"/>
    </xf>
    <xf numFmtId="0" fontId="42" fillId="0" borderId="37" xfId="0" applyFont="1" applyFill="1" applyBorder="1" applyAlignment="1" applyProtection="1">
      <alignment horizontal="center" vertical="center"/>
      <protection hidden="1"/>
    </xf>
    <xf numFmtId="0" fontId="42" fillId="0" borderId="59" xfId="0" applyFont="1" applyFill="1" applyBorder="1" applyAlignment="1" applyProtection="1">
      <alignment horizontal="center" vertical="center"/>
      <protection hidden="1"/>
    </xf>
    <xf numFmtId="0" fontId="41" fillId="0" borderId="2" xfId="0" applyFont="1" applyFill="1" applyBorder="1" applyAlignment="1" applyProtection="1">
      <alignment horizontal="left" vertical="center"/>
      <protection hidden="1"/>
    </xf>
    <xf numFmtId="0" fontId="42" fillId="0" borderId="1" xfId="0" applyFont="1" applyFill="1" applyBorder="1" applyAlignment="1" applyProtection="1">
      <alignment horizontal="center" vertical="center"/>
      <protection hidden="1"/>
    </xf>
    <xf numFmtId="0" fontId="42" fillId="0" borderId="6" xfId="0" applyFont="1" applyFill="1" applyBorder="1" applyAlignment="1" applyProtection="1">
      <alignment horizontal="center" vertical="center"/>
      <protection hidden="1"/>
    </xf>
    <xf numFmtId="0" fontId="42" fillId="0" borderId="31" xfId="0" applyFont="1" applyFill="1" applyBorder="1" applyAlignment="1" applyProtection="1">
      <alignment horizontal="left" vertical="center"/>
      <protection hidden="1"/>
    </xf>
    <xf numFmtId="0" fontId="42" fillId="0" borderId="8" xfId="0" applyFont="1" applyFill="1" applyBorder="1" applyAlignment="1" applyProtection="1">
      <alignment horizontal="left" vertical="center"/>
      <protection hidden="1"/>
    </xf>
    <xf numFmtId="0" fontId="41" fillId="0" borderId="2" xfId="0" applyFont="1" applyFill="1" applyBorder="1" applyAlignment="1" applyProtection="1">
      <alignment horizontal="left" vertical="center" wrapText="1"/>
      <protection hidden="1"/>
    </xf>
    <xf numFmtId="0" fontId="42" fillId="0" borderId="65" xfId="0" applyFont="1" applyFill="1" applyBorder="1" applyAlignment="1" applyProtection="1">
      <alignment horizontal="center" vertical="center"/>
      <protection hidden="1"/>
    </xf>
    <xf numFmtId="0" fontId="42" fillId="0" borderId="0" xfId="0" applyFont="1" applyFill="1" applyBorder="1" applyAlignment="1" applyProtection="1">
      <alignment horizontal="left" vertical="center"/>
      <protection hidden="1"/>
    </xf>
    <xf numFmtId="0" fontId="42" fillId="0" borderId="36" xfId="0" applyFont="1" applyFill="1" applyBorder="1" applyAlignment="1" applyProtection="1">
      <alignment horizontal="left" vertical="center"/>
      <protection hidden="1"/>
    </xf>
    <xf numFmtId="0" fontId="7" fillId="0" borderId="37" xfId="0" applyFont="1" applyBorder="1" applyAlignment="1" applyProtection="1">
      <alignment horizontal="center"/>
      <protection hidden="1"/>
    </xf>
    <xf numFmtId="0" fontId="43" fillId="0" borderId="6" xfId="1" applyFont="1" applyFill="1" applyBorder="1" applyAlignment="1" applyProtection="1">
      <alignment horizontal="left" vertical="center"/>
      <protection hidden="1"/>
    </xf>
    <xf numFmtId="0" fontId="43" fillId="0" borderId="61" xfId="1" applyFont="1" applyFill="1" applyBorder="1" applyAlignment="1" applyProtection="1">
      <alignment horizontal="left" vertical="center"/>
      <protection hidden="1"/>
    </xf>
    <xf numFmtId="0" fontId="0" fillId="0" borderId="0" xfId="0" applyProtection="1">
      <protection hidden="1"/>
    </xf>
    <xf numFmtId="49" fontId="0" fillId="4" borderId="35" xfId="0" applyNumberFormat="1" applyFont="1" applyFill="1" applyBorder="1" applyAlignment="1" applyProtection="1">
      <alignment horizontal="center"/>
      <protection hidden="1"/>
    </xf>
    <xf numFmtId="10" fontId="44" fillId="4" borderId="31" xfId="0" applyNumberFormat="1" applyFont="1" applyFill="1" applyBorder="1" applyAlignment="1" applyProtection="1">
      <alignment horizontal="center"/>
      <protection hidden="1"/>
    </xf>
    <xf numFmtId="165" fontId="44" fillId="4" borderId="31" xfId="0" applyNumberFormat="1" applyFont="1" applyFill="1" applyBorder="1" applyAlignment="1" applyProtection="1">
      <alignment horizontal="center"/>
      <protection hidden="1"/>
    </xf>
    <xf numFmtId="167" fontId="44" fillId="4" borderId="31" xfId="0" applyNumberFormat="1" applyFont="1" applyFill="1" applyBorder="1" applyAlignment="1" applyProtection="1">
      <alignment horizontal="center"/>
      <protection hidden="1"/>
    </xf>
    <xf numFmtId="174" fontId="45" fillId="4" borderId="31" xfId="0" applyNumberFormat="1" applyFont="1" applyFill="1" applyBorder="1" applyAlignment="1" applyProtection="1">
      <alignment horizontal="center"/>
      <protection hidden="1"/>
    </xf>
    <xf numFmtId="171" fontId="45" fillId="4" borderId="31" xfId="0" applyNumberFormat="1" applyFont="1" applyFill="1" applyBorder="1" applyAlignment="1" applyProtection="1">
      <alignment horizontal="center"/>
      <protection hidden="1"/>
    </xf>
    <xf numFmtId="171" fontId="45" fillId="4" borderId="35" xfId="0" applyNumberFormat="1" applyFont="1" applyFill="1" applyBorder="1" applyAlignment="1" applyProtection="1">
      <alignment horizontal="center"/>
      <protection hidden="1"/>
    </xf>
    <xf numFmtId="168" fontId="44" fillId="4" borderId="34" xfId="0" applyNumberFormat="1" applyFont="1" applyFill="1" applyBorder="1" applyAlignment="1" applyProtection="1">
      <alignment horizontal="center"/>
      <protection hidden="1"/>
    </xf>
    <xf numFmtId="0" fontId="44" fillId="4" borderId="0" xfId="0" applyNumberFormat="1" applyFont="1" applyFill="1" applyAlignment="1" applyProtection="1">
      <alignment horizontal="center"/>
      <protection hidden="1"/>
    </xf>
    <xf numFmtId="0" fontId="0" fillId="0" borderId="1" xfId="0" applyFont="1" applyBorder="1" applyAlignment="1" applyProtection="1">
      <alignment horizontal="left"/>
      <protection hidden="1"/>
    </xf>
    <xf numFmtId="203" fontId="2" fillId="4" borderId="35" xfId="0" applyNumberFormat="1" applyFont="1" applyFill="1" applyBorder="1" applyAlignment="1" applyProtection="1">
      <alignment horizontal="center"/>
      <protection hidden="1"/>
    </xf>
    <xf numFmtId="169" fontId="44" fillId="4" borderId="31" xfId="0" applyNumberFormat="1" applyFont="1" applyFill="1" applyBorder="1" applyAlignment="1" applyProtection="1">
      <alignment horizontal="center"/>
      <protection hidden="1"/>
    </xf>
    <xf numFmtId="169" fontId="38" fillId="4" borderId="31" xfId="0" applyNumberFormat="1" applyFont="1" applyFill="1" applyBorder="1" applyAlignment="1" applyProtection="1">
      <alignment horizontal="center"/>
      <protection hidden="1"/>
    </xf>
    <xf numFmtId="169" fontId="15" fillId="4" borderId="31" xfId="0" applyNumberFormat="1" applyFont="1" applyFill="1" applyBorder="1" applyAlignment="1" applyProtection="1">
      <alignment horizontal="center"/>
      <protection hidden="1"/>
    </xf>
    <xf numFmtId="169" fontId="11" fillId="4" borderId="31" xfId="0" applyNumberFormat="1" applyFont="1" applyFill="1" applyBorder="1" applyAlignment="1" applyProtection="1">
      <alignment horizontal="center"/>
      <protection hidden="1"/>
    </xf>
    <xf numFmtId="169" fontId="0" fillId="4" borderId="7" xfId="0" applyNumberFormat="1" applyFont="1" applyFill="1" applyBorder="1" applyAlignment="1" applyProtection="1">
      <alignment horizontal="center"/>
      <protection hidden="1"/>
    </xf>
    <xf numFmtId="169" fontId="0" fillId="4" borderId="31" xfId="0" applyNumberFormat="1" applyFont="1" applyFill="1" applyBorder="1" applyAlignment="1" applyProtection="1">
      <alignment horizontal="center"/>
      <protection hidden="1"/>
    </xf>
    <xf numFmtId="169" fontId="0" fillId="4" borderId="21" xfId="0" applyNumberFormat="1" applyFont="1" applyFill="1" applyBorder="1" applyAlignment="1" applyProtection="1">
      <alignment horizontal="center"/>
      <protection hidden="1"/>
    </xf>
    <xf numFmtId="169" fontId="15" fillId="4" borderId="21" xfId="0" applyNumberFormat="1" applyFont="1" applyFill="1" applyBorder="1" applyAlignment="1" applyProtection="1">
      <alignment horizontal="center"/>
      <protection hidden="1"/>
    </xf>
    <xf numFmtId="0" fontId="0" fillId="0" borderId="20" xfId="0" applyBorder="1" applyAlignment="1" applyProtection="1">
      <alignment horizontal="left"/>
      <protection hidden="1"/>
    </xf>
    <xf numFmtId="0" fontId="0" fillId="0" borderId="34" xfId="0" applyBorder="1" applyAlignment="1" applyProtection="1">
      <alignment horizontal="left"/>
      <protection hidden="1"/>
    </xf>
    <xf numFmtId="0" fontId="0" fillId="0" borderId="25" xfId="0" applyFont="1" applyBorder="1" applyAlignment="1" applyProtection="1">
      <alignment horizontal="left"/>
      <protection hidden="1"/>
    </xf>
    <xf numFmtId="0" fontId="0" fillId="0" borderId="7" xfId="0" applyBorder="1" applyAlignment="1" applyProtection="1">
      <alignment horizontal="left"/>
      <protection hidden="1"/>
    </xf>
    <xf numFmtId="10" fontId="44" fillId="4" borderId="7" xfId="0" applyNumberFormat="1" applyFont="1" applyFill="1" applyBorder="1" applyAlignment="1" applyProtection="1">
      <alignment horizontal="center"/>
      <protection hidden="1"/>
    </xf>
    <xf numFmtId="10" fontId="44" fillId="4" borderId="21" xfId="0" applyNumberFormat="1" applyFont="1" applyFill="1" applyBorder="1" applyAlignment="1" applyProtection="1">
      <alignment horizontal="center"/>
      <protection hidden="1"/>
    </xf>
    <xf numFmtId="10" fontId="44" fillId="4" borderId="35" xfId="0" applyNumberFormat="1" applyFont="1" applyFill="1" applyBorder="1" applyAlignment="1" applyProtection="1">
      <alignment horizontal="center"/>
      <protection hidden="1"/>
    </xf>
    <xf numFmtId="10" fontId="0" fillId="4" borderId="31" xfId="0" applyNumberFormat="1" applyFill="1" applyBorder="1" applyAlignment="1" applyProtection="1">
      <alignment horizontal="center"/>
      <protection hidden="1"/>
    </xf>
    <xf numFmtId="10" fontId="15" fillId="4" borderId="18" xfId="0" applyNumberFormat="1" applyFont="1" applyFill="1" applyBorder="1" applyAlignment="1" applyProtection="1">
      <alignment horizontal="center"/>
      <protection hidden="1"/>
    </xf>
    <xf numFmtId="165" fontId="44" fillId="4" borderId="7" xfId="0" applyNumberFormat="1" applyFont="1" applyFill="1" applyBorder="1" applyAlignment="1" applyProtection="1">
      <alignment horizontal="center"/>
      <protection hidden="1"/>
    </xf>
    <xf numFmtId="165" fontId="44" fillId="4" borderId="21" xfId="0" applyNumberFormat="1" applyFont="1" applyFill="1" applyBorder="1" applyAlignment="1" applyProtection="1">
      <alignment horizontal="center"/>
      <protection hidden="1"/>
    </xf>
    <xf numFmtId="165" fontId="15" fillId="4" borderId="18" xfId="0" applyNumberFormat="1" applyFont="1" applyFill="1" applyBorder="1" applyAlignment="1" applyProtection="1">
      <alignment horizontal="center"/>
      <protection hidden="1"/>
    </xf>
    <xf numFmtId="165" fontId="15" fillId="4" borderId="7" xfId="0" applyNumberFormat="1" applyFont="1" applyFill="1" applyBorder="1" applyAlignment="1" applyProtection="1">
      <alignment horizontal="center"/>
      <protection hidden="1"/>
    </xf>
    <xf numFmtId="169" fontId="44" fillId="4" borderId="7" xfId="0" applyNumberFormat="1" applyFont="1" applyFill="1" applyBorder="1" applyAlignment="1" applyProtection="1">
      <alignment horizontal="center"/>
      <protection hidden="1"/>
    </xf>
    <xf numFmtId="169" fontId="44" fillId="4" borderId="21" xfId="0" applyNumberFormat="1" applyFont="1" applyFill="1" applyBorder="1" applyAlignment="1" applyProtection="1">
      <alignment horizontal="center"/>
      <protection hidden="1"/>
    </xf>
    <xf numFmtId="169" fontId="0" fillId="4" borderId="31" xfId="0" applyNumberFormat="1" applyFill="1" applyBorder="1" applyAlignment="1" applyProtection="1">
      <alignment horizontal="center"/>
      <protection hidden="1"/>
    </xf>
    <xf numFmtId="169" fontId="15" fillId="4" borderId="18" xfId="0" applyNumberFormat="1" applyFont="1" applyFill="1" applyBorder="1" applyAlignment="1" applyProtection="1">
      <alignment horizontal="center"/>
      <protection hidden="1"/>
    </xf>
    <xf numFmtId="169" fontId="15" fillId="4" borderId="7" xfId="0" applyNumberFormat="1" applyFont="1" applyFill="1" applyBorder="1" applyAlignment="1" applyProtection="1">
      <alignment horizontal="center"/>
      <protection hidden="1"/>
    </xf>
    <xf numFmtId="167" fontId="44" fillId="4" borderId="7" xfId="0" applyNumberFormat="1" applyFont="1" applyFill="1" applyBorder="1" applyAlignment="1" applyProtection="1">
      <alignment horizontal="center"/>
      <protection hidden="1"/>
    </xf>
    <xf numFmtId="167" fontId="44" fillId="4" borderId="21" xfId="0" applyNumberFormat="1" applyFont="1" applyFill="1" applyBorder="1" applyAlignment="1" applyProtection="1">
      <alignment horizontal="center"/>
      <protection hidden="1"/>
    </xf>
    <xf numFmtId="167" fontId="15" fillId="4" borderId="18" xfId="0" applyNumberFormat="1" applyFont="1" applyFill="1" applyBorder="1" applyAlignment="1" applyProtection="1">
      <alignment horizontal="center"/>
      <protection hidden="1"/>
    </xf>
    <xf numFmtId="167" fontId="15" fillId="4" borderId="7" xfId="0" applyNumberFormat="1" applyFont="1" applyFill="1" applyBorder="1" applyAlignment="1" applyProtection="1">
      <alignment horizontal="center"/>
      <protection hidden="1"/>
    </xf>
    <xf numFmtId="164" fontId="0" fillId="4" borderId="7" xfId="0" applyNumberFormat="1" applyFont="1" applyFill="1" applyBorder="1" applyAlignment="1" applyProtection="1">
      <alignment horizontal="center"/>
      <protection hidden="1"/>
    </xf>
    <xf numFmtId="164" fontId="15" fillId="4" borderId="7" xfId="0" applyNumberFormat="1" applyFont="1" applyFill="1" applyBorder="1" applyAlignment="1" applyProtection="1">
      <alignment horizontal="center"/>
      <protection hidden="1"/>
    </xf>
    <xf numFmtId="164" fontId="15" fillId="4" borderId="18" xfId="0" applyNumberFormat="1" applyFont="1" applyFill="1" applyBorder="1" applyAlignment="1" applyProtection="1">
      <alignment horizontal="center"/>
      <protection hidden="1"/>
    </xf>
    <xf numFmtId="173" fontId="15" fillId="4" borderId="31" xfId="0" applyNumberFormat="1" applyFont="1" applyFill="1" applyBorder="1" applyAlignment="1" applyProtection="1">
      <alignment horizontal="center"/>
      <protection hidden="1"/>
    </xf>
    <xf numFmtId="174" fontId="45" fillId="4" borderId="7" xfId="0" applyNumberFormat="1" applyFont="1" applyFill="1" applyBorder="1" applyAlignment="1" applyProtection="1">
      <alignment horizontal="center"/>
      <protection hidden="1"/>
    </xf>
    <xf numFmtId="174" fontId="45" fillId="4" borderId="21" xfId="0" applyNumberFormat="1" applyFont="1" applyFill="1" applyBorder="1" applyAlignment="1" applyProtection="1">
      <alignment horizontal="center"/>
      <protection hidden="1"/>
    </xf>
    <xf numFmtId="174" fontId="16" fillId="4" borderId="18" xfId="0" applyNumberFormat="1" applyFont="1" applyFill="1" applyBorder="1" applyAlignment="1" applyProtection="1">
      <alignment horizontal="center"/>
      <protection hidden="1"/>
    </xf>
    <xf numFmtId="174" fontId="16" fillId="4" borderId="7" xfId="0" applyNumberFormat="1" applyFont="1" applyFill="1" applyBorder="1" applyAlignment="1" applyProtection="1">
      <alignment horizontal="center"/>
      <protection hidden="1"/>
    </xf>
    <xf numFmtId="175" fontId="39" fillId="4" borderId="31" xfId="0" applyNumberFormat="1" applyFont="1" applyFill="1" applyBorder="1" applyAlignment="1" applyProtection="1">
      <alignment horizontal="center"/>
      <protection hidden="1"/>
    </xf>
    <xf numFmtId="175" fontId="16" fillId="4" borderId="31" xfId="0" applyNumberFormat="1" applyFont="1" applyFill="1" applyBorder="1" applyAlignment="1" applyProtection="1">
      <alignment horizontal="center"/>
      <protection hidden="1"/>
    </xf>
    <xf numFmtId="171" fontId="45" fillId="4" borderId="7" xfId="0" applyNumberFormat="1" applyFont="1" applyFill="1" applyBorder="1" applyAlignment="1" applyProtection="1">
      <alignment horizontal="center"/>
      <protection hidden="1"/>
    </xf>
    <xf numFmtId="171" fontId="45" fillId="4" borderId="21" xfId="0" applyNumberFormat="1" applyFont="1" applyFill="1" applyBorder="1" applyAlignment="1" applyProtection="1">
      <alignment horizontal="center"/>
      <protection hidden="1"/>
    </xf>
    <xf numFmtId="168" fontId="15" fillId="4" borderId="17" xfId="0" applyNumberFormat="1" applyFont="1" applyFill="1" applyBorder="1" applyAlignment="1" applyProtection="1">
      <alignment horizontal="center"/>
      <protection hidden="1"/>
    </xf>
    <xf numFmtId="176" fontId="15" fillId="4" borderId="34" xfId="0" applyNumberFormat="1" applyFont="1" applyFill="1" applyBorder="1" applyAlignment="1" applyProtection="1">
      <alignment horizontal="center"/>
      <protection hidden="1"/>
    </xf>
    <xf numFmtId="168" fontId="44" fillId="4" borderId="26" xfId="0" applyNumberFormat="1" applyFont="1" applyFill="1" applyBorder="1" applyAlignment="1" applyProtection="1">
      <alignment horizontal="center"/>
      <protection hidden="1"/>
    </xf>
    <xf numFmtId="176" fontId="15" fillId="4" borderId="17" xfId="0" applyNumberFormat="1" applyFont="1" applyFill="1" applyBorder="1" applyAlignment="1" applyProtection="1">
      <alignment horizontal="center"/>
      <protection hidden="1"/>
    </xf>
    <xf numFmtId="176" fontId="0" fillId="4" borderId="17" xfId="0" applyNumberFormat="1" applyFont="1" applyFill="1" applyBorder="1" applyAlignment="1" applyProtection="1">
      <alignment horizontal="center"/>
      <protection hidden="1"/>
    </xf>
    <xf numFmtId="168" fontId="15" fillId="4" borderId="20" xfId="0" applyNumberFormat="1" applyFont="1" applyFill="1" applyBorder="1" applyAlignment="1" applyProtection="1">
      <alignment horizontal="center"/>
      <protection hidden="1"/>
    </xf>
    <xf numFmtId="0" fontId="0" fillId="0" borderId="0" xfId="0" applyAlignment="1" applyProtection="1">
      <alignment horizontal="center"/>
      <protection hidden="1"/>
    </xf>
    <xf numFmtId="0" fontId="3" fillId="0" borderId="5" xfId="0" applyFont="1" applyFill="1" applyBorder="1" applyAlignment="1" applyProtection="1">
      <alignment horizontal="left"/>
      <protection hidden="1"/>
    </xf>
    <xf numFmtId="0" fontId="0" fillId="2" borderId="0" xfId="0" applyFill="1" applyAlignment="1" applyProtection="1">
      <alignment horizontal="center"/>
      <protection hidden="1"/>
    </xf>
    <xf numFmtId="0" fontId="6" fillId="0" borderId="0" xfId="0" applyFont="1" applyFill="1" applyAlignment="1" applyProtection="1">
      <alignment horizontal="left"/>
      <protection hidden="1"/>
    </xf>
    <xf numFmtId="0" fontId="5" fillId="0" borderId="0" xfId="1" applyFont="1" applyFill="1" applyAlignment="1" applyProtection="1">
      <alignment horizontal="left"/>
      <protection hidden="1"/>
    </xf>
    <xf numFmtId="0" fontId="5" fillId="0" borderId="0" xfId="1" quotePrefix="1" applyFont="1" applyFill="1" applyAlignment="1" applyProtection="1">
      <alignment horizontal="left"/>
      <protection hidden="1"/>
    </xf>
    <xf numFmtId="0" fontId="24" fillId="0" borderId="61" xfId="1" applyFont="1" applyFill="1" applyBorder="1" applyAlignment="1" applyProtection="1">
      <alignment horizontal="left"/>
      <protection hidden="1"/>
    </xf>
    <xf numFmtId="0" fontId="24" fillId="0" borderId="0" xfId="1" applyFont="1" applyFill="1" applyBorder="1" applyAlignment="1" applyProtection="1">
      <alignment horizontal="left"/>
      <protection hidden="1"/>
    </xf>
    <xf numFmtId="0" fontId="24" fillId="0" borderId="36" xfId="1" applyFont="1" applyFill="1" applyBorder="1" applyAlignment="1" applyProtection="1">
      <alignment horizontal="left"/>
      <protection hidden="1"/>
    </xf>
    <xf numFmtId="0" fontId="24" fillId="0" borderId="0" xfId="1" applyFont="1" applyFill="1" applyAlignment="1" applyProtection="1">
      <alignment horizontal="left" indent="1"/>
      <protection hidden="1"/>
    </xf>
    <xf numFmtId="0" fontId="6" fillId="2" borderId="0" xfId="0" applyFont="1" applyFill="1" applyAlignment="1" applyProtection="1">
      <alignment horizontal="center"/>
      <protection hidden="1"/>
    </xf>
    <xf numFmtId="0" fontId="7" fillId="0" borderId="0" xfId="0" applyFont="1" applyFill="1" applyAlignment="1" applyProtection="1">
      <alignment horizontal="center"/>
      <protection hidden="1"/>
    </xf>
    <xf numFmtId="0" fontId="26" fillId="2" borderId="15" xfId="0" applyFont="1" applyFill="1" applyBorder="1" applyAlignment="1" applyProtection="1">
      <alignment horizontal="center"/>
      <protection hidden="1"/>
    </xf>
    <xf numFmtId="0" fontId="26" fillId="2" borderId="3" xfId="0" applyFont="1" applyFill="1" applyBorder="1" applyAlignment="1" applyProtection="1">
      <alignment horizontal="center"/>
      <protection hidden="1"/>
    </xf>
    <xf numFmtId="0" fontId="26" fillId="2" borderId="4" xfId="0" applyFont="1" applyFill="1" applyBorder="1" applyAlignment="1" applyProtection="1">
      <alignment horizontal="center"/>
      <protection hidden="1"/>
    </xf>
    <xf numFmtId="0" fontId="24" fillId="0" borderId="1" xfId="1" applyFont="1" applyFill="1" applyBorder="1" applyAlignment="1" applyProtection="1">
      <alignment horizontal="left"/>
      <protection hidden="1"/>
    </xf>
    <xf numFmtId="0" fontId="24" fillId="0" borderId="41" xfId="1" applyFont="1" applyFill="1" applyBorder="1" applyAlignment="1" applyProtection="1">
      <alignment horizontal="left"/>
      <protection hidden="1"/>
    </xf>
    <xf numFmtId="0" fontId="43" fillId="0" borderId="9" xfId="1" applyFont="1" applyFill="1" applyBorder="1" applyAlignment="1" applyProtection="1">
      <alignment horizontal="left" vertical="center"/>
      <protection hidden="1"/>
    </xf>
    <xf numFmtId="0" fontId="43" fillId="0" borderId="10" xfId="1" applyFont="1" applyFill="1" applyBorder="1" applyAlignment="1" applyProtection="1">
      <alignment horizontal="left" vertical="center"/>
      <protection hidden="1"/>
    </xf>
    <xf numFmtId="0" fontId="43" fillId="0" borderId="11" xfId="1" applyFont="1" applyFill="1" applyBorder="1" applyAlignment="1" applyProtection="1">
      <alignment horizontal="left" vertical="center"/>
      <protection hidden="1"/>
    </xf>
    <xf numFmtId="0" fontId="24" fillId="0" borderId="6" xfId="1" applyFont="1" applyFill="1" applyBorder="1" applyAlignment="1" applyProtection="1">
      <alignment horizontal="left"/>
      <protection hidden="1"/>
    </xf>
    <xf numFmtId="0" fontId="24" fillId="0" borderId="31" xfId="1" applyFont="1" applyFill="1" applyBorder="1" applyAlignment="1" applyProtection="1">
      <alignment horizontal="left"/>
      <protection hidden="1"/>
    </xf>
    <xf numFmtId="0" fontId="24" fillId="0" borderId="8" xfId="1" applyFont="1" applyFill="1" applyBorder="1" applyAlignment="1" applyProtection="1">
      <alignment horizontal="left"/>
      <protection hidden="1"/>
    </xf>
    <xf numFmtId="0" fontId="24" fillId="0" borderId="12" xfId="1" applyFont="1" applyFill="1" applyBorder="1" applyAlignment="1" applyProtection="1">
      <alignment horizontal="left"/>
      <protection hidden="1"/>
    </xf>
    <xf numFmtId="0" fontId="24" fillId="0" borderId="13" xfId="1" applyFont="1" applyFill="1" applyBorder="1" applyAlignment="1" applyProtection="1">
      <alignment horizontal="left"/>
      <protection hidden="1"/>
    </xf>
    <xf numFmtId="0" fontId="24" fillId="0" borderId="14" xfId="1" applyFont="1" applyFill="1" applyBorder="1" applyAlignment="1" applyProtection="1">
      <alignment horizontal="left"/>
      <protection hidden="1"/>
    </xf>
    <xf numFmtId="0" fontId="5" fillId="0" borderId="0" xfId="1" applyFont="1" applyFill="1" applyBorder="1" applyAlignment="1" applyProtection="1">
      <alignment horizontal="center" vertical="center"/>
      <protection hidden="1"/>
    </xf>
    <xf numFmtId="0" fontId="0" fillId="0" borderId="65" xfId="0" applyFill="1" applyBorder="1" applyAlignment="1" applyProtection="1">
      <alignment horizontal="left" vertical="center" indent="1"/>
      <protection hidden="1"/>
    </xf>
    <xf numFmtId="0" fontId="0" fillId="0" borderId="35" xfId="0" applyFill="1" applyBorder="1" applyAlignment="1" applyProtection="1">
      <alignment horizontal="left" vertical="center" indent="1"/>
      <protection hidden="1"/>
    </xf>
    <xf numFmtId="0" fontId="0" fillId="0" borderId="26" xfId="0" applyFill="1" applyBorder="1" applyAlignment="1" applyProtection="1">
      <alignment horizontal="left" vertical="center" indent="1"/>
      <protection hidden="1"/>
    </xf>
    <xf numFmtId="0" fontId="0" fillId="0" borderId="59" xfId="0" applyFill="1" applyBorder="1" applyAlignment="1" applyProtection="1">
      <alignment horizontal="left" vertical="center" indent="1"/>
      <protection hidden="1"/>
    </xf>
    <xf numFmtId="0" fontId="0" fillId="0" borderId="18" xfId="0" applyFill="1" applyBorder="1" applyAlignment="1" applyProtection="1">
      <alignment horizontal="left" vertical="center" indent="1"/>
      <protection hidden="1"/>
    </xf>
    <xf numFmtId="0" fontId="0" fillId="0" borderId="20" xfId="0" applyFill="1" applyBorder="1" applyAlignment="1" applyProtection="1">
      <alignment horizontal="left" vertical="center" indent="1"/>
      <protection hidden="1"/>
    </xf>
    <xf numFmtId="0" fontId="0" fillId="0" borderId="65" xfId="0" applyBorder="1" applyAlignment="1" applyProtection="1">
      <alignment horizontal="left" vertical="center" wrapText="1" indent="1"/>
      <protection hidden="1"/>
    </xf>
    <xf numFmtId="0" fontId="0" fillId="0" borderId="35" xfId="0" applyBorder="1" applyAlignment="1" applyProtection="1">
      <alignment horizontal="left" vertical="center" wrapText="1" indent="1"/>
      <protection hidden="1"/>
    </xf>
    <xf numFmtId="0" fontId="0" fillId="0" borderId="26" xfId="0" applyBorder="1" applyAlignment="1" applyProtection="1">
      <alignment horizontal="left" vertical="center" wrapText="1" indent="1"/>
      <protection hidden="1"/>
    </xf>
    <xf numFmtId="0" fontId="0" fillId="0" borderId="61" xfId="0" applyBorder="1" applyAlignment="1" applyProtection="1">
      <alignment horizontal="left" vertical="center" wrapText="1" indent="1"/>
      <protection hidden="1"/>
    </xf>
    <xf numFmtId="0" fontId="0" fillId="0" borderId="0" xfId="0" applyBorder="1" applyAlignment="1" applyProtection="1">
      <alignment horizontal="left" vertical="center" wrapText="1" indent="1"/>
      <protection hidden="1"/>
    </xf>
    <xf numFmtId="0" fontId="0" fillId="0" borderId="25" xfId="0" applyBorder="1" applyAlignment="1" applyProtection="1">
      <alignment horizontal="left" vertical="center" wrapText="1" indent="1"/>
      <protection hidden="1"/>
    </xf>
    <xf numFmtId="0" fontId="0" fillId="0" borderId="59" xfId="0" applyBorder="1" applyAlignment="1" applyProtection="1">
      <alignment horizontal="left" vertical="center" wrapText="1" indent="1"/>
      <protection hidden="1"/>
    </xf>
    <xf numFmtId="0" fontId="0" fillId="0" borderId="18" xfId="0" applyBorder="1" applyAlignment="1" applyProtection="1">
      <alignment horizontal="left" vertical="center" wrapText="1" indent="1"/>
      <protection hidden="1"/>
    </xf>
    <xf numFmtId="0" fontId="0" fillId="0" borderId="20" xfId="0" applyBorder="1" applyAlignment="1" applyProtection="1">
      <alignment horizontal="left" vertical="center" wrapText="1" indent="1"/>
      <protection hidden="1"/>
    </xf>
    <xf numFmtId="0" fontId="0" fillId="0" borderId="0" xfId="0" applyFill="1" applyBorder="1" applyAlignment="1" applyProtection="1">
      <alignment horizontal="left" wrapText="1" indent="1"/>
      <protection hidden="1"/>
    </xf>
    <xf numFmtId="0" fontId="0" fillId="0" borderId="25" xfId="0" applyFill="1" applyBorder="1" applyAlignment="1" applyProtection="1">
      <alignment horizontal="left" wrapText="1" indent="1"/>
      <protection hidden="1"/>
    </xf>
    <xf numFmtId="0" fontId="0" fillId="0" borderId="18" xfId="0" applyFill="1" applyBorder="1" applyAlignment="1" applyProtection="1">
      <alignment horizontal="left" wrapText="1" indent="1"/>
      <protection hidden="1"/>
    </xf>
    <xf numFmtId="0" fontId="0" fillId="0" borderId="20" xfId="0" applyFill="1" applyBorder="1" applyAlignment="1" applyProtection="1">
      <alignment horizontal="left" wrapText="1" indent="1"/>
      <protection hidden="1"/>
    </xf>
    <xf numFmtId="0" fontId="0" fillId="0" borderId="6" xfId="0" applyFont="1" applyFill="1" applyBorder="1" applyAlignment="1" applyProtection="1">
      <alignment horizontal="left" vertical="center" wrapText="1" indent="1"/>
      <protection hidden="1"/>
    </xf>
    <xf numFmtId="0" fontId="0" fillId="0" borderId="31" xfId="0" applyFont="1" applyFill="1" applyBorder="1" applyAlignment="1" applyProtection="1">
      <alignment horizontal="left" vertical="center" wrapText="1" indent="1"/>
      <protection hidden="1"/>
    </xf>
    <xf numFmtId="0" fontId="0" fillId="0" borderId="34" xfId="0" applyFont="1" applyFill="1" applyBorder="1" applyAlignment="1" applyProtection="1">
      <alignment horizontal="left" vertical="center" wrapText="1" indent="1"/>
      <protection hidden="1"/>
    </xf>
    <xf numFmtId="0" fontId="0" fillId="0" borderId="6" xfId="0" applyFont="1" applyFill="1" applyBorder="1" applyAlignment="1" applyProtection="1">
      <alignment horizontal="left" wrapText="1" indent="1"/>
      <protection hidden="1"/>
    </xf>
    <xf numFmtId="0" fontId="0" fillId="0" borderId="31" xfId="0" applyFont="1" applyFill="1" applyBorder="1" applyAlignment="1" applyProtection="1">
      <alignment horizontal="left" wrapText="1" indent="1"/>
      <protection hidden="1"/>
    </xf>
    <xf numFmtId="0" fontId="0" fillId="0" borderId="34" xfId="0" applyFont="1" applyFill="1" applyBorder="1" applyAlignment="1" applyProtection="1">
      <alignment horizontal="left" wrapText="1" indent="1"/>
      <protection hidden="1"/>
    </xf>
    <xf numFmtId="0" fontId="0" fillId="0" borderId="6" xfId="0" applyBorder="1" applyAlignment="1" applyProtection="1">
      <alignment horizontal="left" wrapText="1" indent="1"/>
      <protection hidden="1"/>
    </xf>
    <xf numFmtId="0" fontId="0" fillId="0" borderId="31" xfId="0" applyBorder="1" applyAlignment="1" applyProtection="1">
      <alignment horizontal="left" wrapText="1" indent="1"/>
      <protection hidden="1"/>
    </xf>
    <xf numFmtId="0" fontId="0" fillId="0" borderId="34" xfId="0" applyBorder="1" applyAlignment="1" applyProtection="1">
      <alignment horizontal="left" wrapText="1" indent="1"/>
      <protection hidden="1"/>
    </xf>
    <xf numFmtId="0" fontId="0" fillId="0" borderId="6" xfId="0" applyFill="1" applyBorder="1" applyAlignment="1" applyProtection="1">
      <alignment horizontal="left" vertical="center" wrapText="1" indent="1"/>
      <protection hidden="1"/>
    </xf>
    <xf numFmtId="0" fontId="0" fillId="0" borderId="31" xfId="0" applyFill="1" applyBorder="1" applyAlignment="1" applyProtection="1">
      <alignment horizontal="left" vertical="center" wrapText="1" indent="1"/>
      <protection hidden="1"/>
    </xf>
    <xf numFmtId="0" fontId="0" fillId="0" borderId="34" xfId="0" applyFill="1" applyBorder="1" applyAlignment="1" applyProtection="1">
      <alignment horizontal="left" vertical="center" wrapText="1" indent="1"/>
      <protection hidden="1"/>
    </xf>
    <xf numFmtId="0" fontId="0" fillId="0" borderId="6" xfId="0" applyFill="1" applyBorder="1" applyAlignment="1" applyProtection="1">
      <alignment horizontal="left" wrapText="1" indent="1"/>
      <protection hidden="1"/>
    </xf>
    <xf numFmtId="0" fontId="0" fillId="0" borderId="31" xfId="0" applyFill="1" applyBorder="1" applyAlignment="1" applyProtection="1">
      <alignment horizontal="left" wrapText="1" indent="1"/>
      <protection hidden="1"/>
    </xf>
    <xf numFmtId="0" fontId="0" fillId="0" borderId="34" xfId="0" applyFill="1" applyBorder="1" applyAlignment="1" applyProtection="1">
      <alignment horizontal="left" wrapText="1" indent="1"/>
      <protection hidden="1"/>
    </xf>
    <xf numFmtId="0" fontId="0" fillId="0" borderId="61" xfId="0" applyFill="1" applyBorder="1" applyAlignment="1" applyProtection="1">
      <alignment horizontal="left" vertical="center" wrapText="1" indent="1"/>
      <protection hidden="1"/>
    </xf>
    <xf numFmtId="0" fontId="0" fillId="0" borderId="25" xfId="0" applyFill="1" applyBorder="1" applyAlignment="1" applyProtection="1">
      <alignment horizontal="left" vertical="center" wrapText="1" indent="1"/>
      <protection hidden="1"/>
    </xf>
    <xf numFmtId="0" fontId="0" fillId="0" borderId="59" xfId="0" applyFill="1" applyBorder="1" applyAlignment="1" applyProtection="1">
      <alignment horizontal="left" vertical="center" wrapText="1" indent="1"/>
      <protection hidden="1"/>
    </xf>
    <xf numFmtId="0" fontId="0" fillId="0" borderId="20" xfId="0" applyFill="1" applyBorder="1" applyAlignment="1" applyProtection="1">
      <alignment horizontal="left" vertical="center" wrapText="1" indent="1"/>
      <protection hidden="1"/>
    </xf>
    <xf numFmtId="0" fontId="0" fillId="0" borderId="61" xfId="0" applyFill="1" applyBorder="1" applyAlignment="1" applyProtection="1">
      <alignment horizontal="left" vertical="center" indent="1"/>
      <protection hidden="1"/>
    </xf>
    <xf numFmtId="0" fontId="0" fillId="0" borderId="0" xfId="0" applyFill="1" applyBorder="1" applyAlignment="1" applyProtection="1">
      <alignment horizontal="left" vertical="center" indent="1"/>
      <protection hidden="1"/>
    </xf>
    <xf numFmtId="0" fontId="0" fillId="0" borderId="25" xfId="0" applyFill="1" applyBorder="1" applyAlignment="1" applyProtection="1">
      <alignment horizontal="left" vertical="center" indent="1"/>
      <protection hidden="1"/>
    </xf>
    <xf numFmtId="0" fontId="0" fillId="0" borderId="35" xfId="0" applyFill="1" applyBorder="1" applyAlignment="1" applyProtection="1">
      <alignment horizontal="left" wrapText="1" indent="1"/>
      <protection hidden="1"/>
    </xf>
    <xf numFmtId="0" fontId="0" fillId="0" borderId="26" xfId="0" applyFill="1" applyBorder="1" applyAlignment="1" applyProtection="1">
      <alignment horizontal="left" wrapText="1" indent="1"/>
      <protection hidden="1"/>
    </xf>
    <xf numFmtId="0" fontId="29" fillId="0" borderId="65" xfId="0" applyFont="1" applyBorder="1" applyAlignment="1" applyProtection="1">
      <alignment horizontal="center" vertical="center" wrapText="1"/>
      <protection hidden="1"/>
    </xf>
    <xf numFmtId="0" fontId="29" fillId="0" borderId="26" xfId="0" applyFont="1" applyBorder="1" applyAlignment="1" applyProtection="1">
      <alignment horizontal="center" vertical="center" wrapText="1"/>
      <protection hidden="1"/>
    </xf>
    <xf numFmtId="0" fontId="29" fillId="0" borderId="61" xfId="0" applyFont="1" applyBorder="1" applyAlignment="1" applyProtection="1">
      <alignment horizontal="center" vertical="center" wrapText="1"/>
      <protection hidden="1"/>
    </xf>
    <xf numFmtId="0" fontId="29" fillId="0" borderId="25" xfId="0" applyFont="1" applyBorder="1" applyAlignment="1" applyProtection="1">
      <alignment horizontal="center" vertical="center" wrapText="1"/>
      <protection hidden="1"/>
    </xf>
    <xf numFmtId="0" fontId="29" fillId="0" borderId="59" xfId="0" applyFont="1" applyBorder="1" applyAlignment="1" applyProtection="1">
      <alignment horizontal="center" vertical="center" wrapText="1"/>
      <protection hidden="1"/>
    </xf>
    <xf numFmtId="0" fontId="29" fillId="0" borderId="20" xfId="0" applyFont="1" applyBorder="1" applyAlignment="1" applyProtection="1">
      <alignment horizontal="center" vertical="center" wrapText="1"/>
      <protection hidden="1"/>
    </xf>
    <xf numFmtId="0" fontId="0" fillId="0" borderId="65" xfId="0" applyFill="1" applyBorder="1" applyAlignment="1" applyProtection="1">
      <alignment horizontal="left" wrapText="1" indent="1"/>
      <protection hidden="1"/>
    </xf>
    <xf numFmtId="0" fontId="0" fillId="0" borderId="61" xfId="0" applyFill="1" applyBorder="1" applyAlignment="1" applyProtection="1">
      <alignment horizontal="left" wrapText="1" indent="1"/>
      <protection hidden="1"/>
    </xf>
    <xf numFmtId="0" fontId="0" fillId="0" borderId="59" xfId="0" applyFill="1" applyBorder="1" applyAlignment="1" applyProtection="1">
      <alignment horizontal="left" wrapText="1" indent="1"/>
      <protection hidden="1"/>
    </xf>
    <xf numFmtId="0" fontId="0" fillId="0" borderId="35" xfId="0" applyBorder="1" applyAlignment="1" applyProtection="1">
      <alignment horizontal="left" wrapText="1" indent="1"/>
      <protection hidden="1"/>
    </xf>
    <xf numFmtId="0" fontId="0" fillId="0" borderId="26" xfId="0" applyBorder="1" applyAlignment="1" applyProtection="1">
      <alignment horizontal="left" wrapText="1" indent="1"/>
      <protection hidden="1"/>
    </xf>
    <xf numFmtId="0" fontId="0" fillId="0" borderId="18" xfId="0" applyBorder="1" applyAlignment="1" applyProtection="1">
      <alignment horizontal="left" wrapText="1" indent="1"/>
      <protection hidden="1"/>
    </xf>
    <xf numFmtId="0" fontId="0" fillId="0" borderId="20" xfId="0" applyBorder="1" applyAlignment="1" applyProtection="1">
      <alignment horizontal="left" wrapText="1" indent="1"/>
      <protection hidden="1"/>
    </xf>
    <xf numFmtId="0" fontId="0" fillId="0" borderId="65" xfId="0" applyFont="1" applyFill="1" applyBorder="1" applyAlignment="1" applyProtection="1">
      <alignment horizontal="left" vertical="center" indent="1"/>
      <protection hidden="1"/>
    </xf>
    <xf numFmtId="0" fontId="0" fillId="0" borderId="35" xfId="0" applyFont="1" applyFill="1" applyBorder="1" applyAlignment="1" applyProtection="1">
      <alignment horizontal="left" vertical="center" indent="1"/>
      <protection hidden="1"/>
    </xf>
    <xf numFmtId="0" fontId="0" fillId="0" borderId="61" xfId="0" applyFont="1" applyFill="1" applyBorder="1" applyAlignment="1" applyProtection="1">
      <alignment horizontal="left" vertical="center" indent="1"/>
      <protection hidden="1"/>
    </xf>
    <xf numFmtId="0" fontId="0" fillId="0" borderId="0" xfId="0" applyFont="1" applyFill="1" applyBorder="1" applyAlignment="1" applyProtection="1">
      <alignment horizontal="left" vertical="center" indent="1"/>
      <protection hidden="1"/>
    </xf>
    <xf numFmtId="0" fontId="0" fillId="0" borderId="59" xfId="0" applyFont="1" applyFill="1" applyBorder="1" applyAlignment="1" applyProtection="1">
      <alignment horizontal="left" vertical="center" indent="1"/>
      <protection hidden="1"/>
    </xf>
    <xf numFmtId="0" fontId="0" fillId="0" borderId="18" xfId="0" applyFont="1" applyFill="1" applyBorder="1" applyAlignment="1" applyProtection="1">
      <alignment horizontal="left" vertical="center" indent="1"/>
      <protection hidden="1"/>
    </xf>
    <xf numFmtId="0" fontId="0" fillId="0" borderId="26" xfId="0" applyFont="1" applyFill="1" applyBorder="1" applyAlignment="1" applyProtection="1">
      <alignment horizontal="left" vertical="center" indent="1"/>
      <protection hidden="1"/>
    </xf>
    <xf numFmtId="0" fontId="0" fillId="0" borderId="20" xfId="0" applyFont="1" applyFill="1" applyBorder="1" applyAlignment="1" applyProtection="1">
      <alignment horizontal="left" vertical="center" indent="1"/>
      <protection hidden="1"/>
    </xf>
    <xf numFmtId="0" fontId="0" fillId="0" borderId="6" xfId="0" applyFill="1" applyBorder="1" applyAlignment="1" applyProtection="1">
      <alignment horizontal="left" indent="1"/>
      <protection hidden="1"/>
    </xf>
    <xf numFmtId="0" fontId="0" fillId="0" borderId="31" xfId="0" applyFill="1" applyBorder="1" applyAlignment="1" applyProtection="1">
      <alignment horizontal="left" indent="1"/>
      <protection hidden="1"/>
    </xf>
    <xf numFmtId="0" fontId="0" fillId="0" borderId="34" xfId="0" applyFill="1" applyBorder="1" applyAlignment="1" applyProtection="1">
      <alignment horizontal="left" indent="1"/>
      <protection hidden="1"/>
    </xf>
    <xf numFmtId="0" fontId="29" fillId="0" borderId="65" xfId="0" applyFont="1" applyFill="1" applyBorder="1" applyAlignment="1" applyProtection="1">
      <alignment horizontal="center" vertical="center" wrapText="1"/>
      <protection hidden="1"/>
    </xf>
    <xf numFmtId="0" fontId="29" fillId="0" borderId="26" xfId="0" applyFont="1" applyFill="1" applyBorder="1" applyAlignment="1" applyProtection="1">
      <alignment horizontal="center" vertical="center" wrapText="1"/>
      <protection hidden="1"/>
    </xf>
    <xf numFmtId="0" fontId="29" fillId="0" borderId="61" xfId="0" applyFont="1" applyFill="1" applyBorder="1" applyAlignment="1" applyProtection="1">
      <alignment horizontal="center" vertical="center" wrapText="1"/>
      <protection hidden="1"/>
    </xf>
    <xf numFmtId="0" fontId="29" fillId="0" borderId="25" xfId="0" applyFont="1" applyFill="1" applyBorder="1" applyAlignment="1" applyProtection="1">
      <alignment horizontal="center" vertical="center" wrapText="1"/>
      <protection hidden="1"/>
    </xf>
    <xf numFmtId="0" fontId="29" fillId="0" borderId="59" xfId="0" applyFont="1" applyFill="1" applyBorder="1" applyAlignment="1" applyProtection="1">
      <alignment horizontal="center" vertical="center" wrapText="1"/>
      <protection hidden="1"/>
    </xf>
    <xf numFmtId="0" fontId="29" fillId="0" borderId="20" xfId="0" applyFont="1" applyFill="1" applyBorder="1" applyAlignment="1" applyProtection="1">
      <alignment horizontal="center" vertical="center" wrapText="1"/>
      <protection hidden="1"/>
    </xf>
    <xf numFmtId="0" fontId="1" fillId="7" borderId="15" xfId="0" applyFont="1" applyFill="1" applyBorder="1" applyAlignment="1">
      <alignment horizontal="center"/>
    </xf>
    <xf numFmtId="0" fontId="1" fillId="7" borderId="3" xfId="0" applyFont="1" applyFill="1" applyBorder="1" applyAlignment="1">
      <alignment horizontal="center"/>
    </xf>
    <xf numFmtId="0" fontId="1" fillId="7" borderId="4" xfId="0" applyFont="1" applyFill="1" applyBorder="1" applyAlignment="1">
      <alignment horizontal="center"/>
    </xf>
    <xf numFmtId="165" fontId="0" fillId="6" borderId="0" xfId="0" applyNumberFormat="1" applyFont="1" applyFill="1" applyBorder="1" applyAlignment="1">
      <alignment horizontal="center" vertical="center"/>
    </xf>
    <xf numFmtId="166" fontId="0" fillId="6" borderId="0" xfId="0" applyNumberFormat="1" applyFont="1" applyFill="1" applyBorder="1" applyAlignment="1">
      <alignment horizontal="center" vertical="center"/>
    </xf>
    <xf numFmtId="167" fontId="0" fillId="6" borderId="0" xfId="0" applyNumberFormat="1" applyFont="1" applyFill="1" applyBorder="1" applyAlignment="1">
      <alignment horizontal="center" vertical="center"/>
    </xf>
    <xf numFmtId="10" fontId="0" fillId="6" borderId="0" xfId="0" applyNumberFormat="1" applyFont="1" applyFill="1" applyBorder="1" applyAlignment="1">
      <alignment horizontal="center" vertical="center"/>
    </xf>
    <xf numFmtId="169" fontId="40" fillId="0" borderId="57" xfId="0" applyNumberFormat="1" applyFont="1" applyFill="1" applyBorder="1" applyAlignment="1">
      <alignment horizontal="center" vertical="center" wrapText="1"/>
    </xf>
    <xf numFmtId="169" fontId="40" fillId="0" borderId="5" xfId="0" applyNumberFormat="1" applyFont="1" applyFill="1" applyBorder="1" applyAlignment="1">
      <alignment horizontal="center" vertical="center" wrapText="1"/>
    </xf>
    <xf numFmtId="0" fontId="29" fillId="0" borderId="19" xfId="0" applyFont="1" applyBorder="1" applyAlignment="1">
      <alignment horizontal="left" vertical="top" wrapText="1"/>
    </xf>
    <xf numFmtId="0" fontId="29" fillId="0" borderId="0" xfId="0" applyFont="1" applyBorder="1" applyAlignment="1">
      <alignment horizontal="left" vertical="top" wrapText="1"/>
    </xf>
    <xf numFmtId="0" fontId="32" fillId="0" borderId="0" xfId="0" applyFont="1" applyAlignment="1">
      <alignment horizontal="left"/>
    </xf>
    <xf numFmtId="0" fontId="29" fillId="5" borderId="0" xfId="0" applyFont="1" applyFill="1" applyAlignment="1">
      <alignment horizontal="left" vertical="top" wrapText="1"/>
    </xf>
    <xf numFmtId="169" fontId="0" fillId="4" borderId="61" xfId="0" applyNumberFormat="1" applyFont="1" applyFill="1" applyBorder="1" applyAlignment="1">
      <alignment horizontal="center" vertical="center"/>
    </xf>
    <xf numFmtId="169" fontId="0" fillId="4" borderId="36" xfId="0" applyNumberFormat="1" applyFont="1" applyFill="1" applyBorder="1" applyAlignment="1">
      <alignment horizontal="center" vertical="center"/>
    </xf>
    <xf numFmtId="0" fontId="0" fillId="10" borderId="65" xfId="0" quotePrefix="1" applyFont="1" applyFill="1" applyBorder="1" applyAlignment="1">
      <alignment horizontal="center" vertical="center"/>
    </xf>
    <xf numFmtId="0" fontId="0" fillId="10" borderId="26" xfId="0" quotePrefix="1" applyFont="1" applyFill="1" applyBorder="1" applyAlignment="1">
      <alignment horizontal="center" vertical="center"/>
    </xf>
    <xf numFmtId="0" fontId="1" fillId="10" borderId="68" xfId="0" applyFont="1" applyFill="1" applyBorder="1" applyAlignment="1">
      <alignment horizontal="center" vertical="center" wrapText="1"/>
    </xf>
    <xf numFmtId="0" fontId="1" fillId="10" borderId="67" xfId="0" applyFont="1" applyFill="1" applyBorder="1" applyAlignment="1">
      <alignment horizontal="center" vertical="center" wrapText="1"/>
    </xf>
    <xf numFmtId="169" fontId="11" fillId="4" borderId="57" xfId="0" applyNumberFormat="1" applyFont="1" applyFill="1" applyBorder="1" applyAlignment="1">
      <alignment horizontal="center" vertical="center"/>
    </xf>
    <xf numFmtId="0" fontId="0" fillId="10" borderId="9" xfId="0" quotePrefix="1" applyFont="1" applyFill="1" applyBorder="1" applyAlignment="1">
      <alignment horizontal="center" vertical="center"/>
    </xf>
    <xf numFmtId="0" fontId="0" fillId="10" borderId="24" xfId="0" quotePrefix="1" applyFont="1" applyFill="1" applyBorder="1" applyAlignment="1">
      <alignment horizontal="center" vertical="center"/>
    </xf>
    <xf numFmtId="175" fontId="0" fillId="11" borderId="61" xfId="0" applyNumberFormat="1" applyFill="1" applyBorder="1" applyAlignment="1" applyProtection="1">
      <alignment horizontal="center" vertical="center"/>
      <protection locked="0"/>
    </xf>
    <xf numFmtId="175" fontId="0" fillId="11" borderId="36" xfId="0" applyNumberFormat="1" applyFill="1" applyBorder="1" applyAlignment="1" applyProtection="1">
      <alignment horizontal="center" vertical="center"/>
      <protection locked="0"/>
    </xf>
    <xf numFmtId="0" fontId="0" fillId="10" borderId="23" xfId="0" applyFont="1" applyFill="1" applyBorder="1" applyAlignment="1">
      <alignment horizontal="left" vertical="center" indent="1"/>
    </xf>
    <xf numFmtId="0" fontId="0" fillId="10" borderId="5" xfId="0" applyFont="1" applyFill="1" applyBorder="1" applyAlignment="1">
      <alignment horizontal="left" vertical="center" indent="1"/>
    </xf>
    <xf numFmtId="0" fontId="0" fillId="10" borderId="63" xfId="0" applyFont="1" applyFill="1" applyBorder="1" applyAlignment="1">
      <alignment horizontal="left" vertical="center" indent="1"/>
    </xf>
    <xf numFmtId="165" fontId="0" fillId="6" borderId="5" xfId="0" applyNumberFormat="1" applyFont="1" applyFill="1" applyBorder="1" applyAlignment="1">
      <alignment horizontal="center" vertical="center"/>
    </xf>
    <xf numFmtId="0" fontId="1" fillId="10" borderId="62" xfId="0" applyFont="1" applyFill="1" applyBorder="1" applyAlignment="1">
      <alignment horizontal="center" vertical="center"/>
    </xf>
    <xf numFmtId="0" fontId="1" fillId="10" borderId="63" xfId="0" applyFont="1" applyFill="1" applyBorder="1" applyAlignment="1">
      <alignment horizontal="center" vertical="center"/>
    </xf>
    <xf numFmtId="0" fontId="6" fillId="0" borderId="0" xfId="0" applyFont="1" applyBorder="1" applyAlignment="1" applyProtection="1">
      <alignment horizontal="center"/>
    </xf>
    <xf numFmtId="0" fontId="6" fillId="2" borderId="0" xfId="0" applyFont="1" applyFill="1" applyAlignment="1" applyProtection="1">
      <alignment horizontal="center"/>
    </xf>
    <xf numFmtId="0" fontId="35" fillId="0" borderId="0" xfId="0" applyFont="1" applyBorder="1" applyAlignment="1">
      <alignment horizontal="left"/>
    </xf>
    <xf numFmtId="0" fontId="10" fillId="0" borderId="27" xfId="0" applyFont="1" applyBorder="1" applyAlignment="1">
      <alignment horizontal="center" vertical="center"/>
    </xf>
    <xf numFmtId="0" fontId="10" fillId="0" borderId="11" xfId="0" applyFont="1" applyBorder="1" applyAlignment="1">
      <alignment horizontal="center" vertical="center"/>
    </xf>
    <xf numFmtId="0" fontId="30" fillId="5" borderId="0" xfId="0" applyFont="1" applyFill="1" applyBorder="1" applyAlignment="1">
      <alignment horizontal="left" vertical="center" wrapText="1" indent="1"/>
    </xf>
    <xf numFmtId="0" fontId="34" fillId="13" borderId="15" xfId="0" applyFont="1" applyFill="1" applyBorder="1" applyAlignment="1">
      <alignment horizontal="center" vertical="center"/>
    </xf>
    <xf numFmtId="0" fontId="34" fillId="13" borderId="3" xfId="0" applyFont="1" applyFill="1" applyBorder="1" applyAlignment="1">
      <alignment horizontal="center" vertical="center"/>
    </xf>
    <xf numFmtId="0" fontId="34" fillId="13" borderId="4" xfId="0" applyFont="1" applyFill="1" applyBorder="1" applyAlignment="1">
      <alignment horizontal="center" vertical="center"/>
    </xf>
    <xf numFmtId="0" fontId="0" fillId="10" borderId="27" xfId="0" quotePrefix="1" applyFont="1" applyFill="1" applyBorder="1" applyAlignment="1">
      <alignment horizontal="right" vertical="center" indent="1"/>
    </xf>
    <xf numFmtId="0" fontId="0" fillId="10" borderId="10" xfId="0" quotePrefix="1" applyFont="1" applyFill="1" applyBorder="1" applyAlignment="1">
      <alignment horizontal="right" vertical="center" indent="1"/>
    </xf>
    <xf numFmtId="0" fontId="0" fillId="10" borderId="24" xfId="0" quotePrefix="1" applyFont="1" applyFill="1" applyBorder="1" applyAlignment="1">
      <alignment horizontal="right" vertical="center" indent="1"/>
    </xf>
    <xf numFmtId="0" fontId="1" fillId="7" borderId="30" xfId="0" applyFont="1" applyFill="1" applyBorder="1" applyAlignment="1">
      <alignment horizontal="center"/>
    </xf>
    <xf numFmtId="0" fontId="1" fillId="7" borderId="22" xfId="0" applyFont="1" applyFill="1" applyBorder="1" applyAlignment="1">
      <alignment horizontal="center"/>
    </xf>
    <xf numFmtId="0" fontId="0" fillId="0" borderId="23" xfId="0" applyBorder="1" applyAlignment="1">
      <alignment horizontal="center"/>
    </xf>
    <xf numFmtId="0" fontId="0" fillId="0" borderId="32" xfId="0" applyBorder="1" applyAlignment="1">
      <alignment horizontal="center"/>
    </xf>
    <xf numFmtId="0" fontId="35" fillId="0" borderId="0" xfId="0" applyNumberFormat="1" applyFont="1" applyBorder="1" applyAlignment="1">
      <alignment horizontal="left"/>
    </xf>
    <xf numFmtId="169" fontId="11" fillId="4" borderId="0" xfId="0" applyNumberFormat="1" applyFont="1" applyFill="1" applyBorder="1" applyAlignment="1">
      <alignment horizontal="center" vertical="center"/>
    </xf>
    <xf numFmtId="0" fontId="0" fillId="10" borderId="69" xfId="0" quotePrefix="1" applyFont="1" applyFill="1" applyBorder="1" applyAlignment="1">
      <alignment horizontal="right" vertical="center" indent="1"/>
    </xf>
    <xf numFmtId="0" fontId="0" fillId="10" borderId="35" xfId="0" quotePrefix="1" applyFont="1" applyFill="1" applyBorder="1" applyAlignment="1">
      <alignment horizontal="right" vertical="center" indent="1"/>
    </xf>
    <xf numFmtId="0" fontId="0" fillId="10" borderId="26" xfId="0" quotePrefix="1" applyFont="1" applyFill="1" applyBorder="1" applyAlignment="1">
      <alignment horizontal="right" vertical="center" indent="1"/>
    </xf>
    <xf numFmtId="0" fontId="0" fillId="6" borderId="19" xfId="0" applyFont="1" applyFill="1" applyBorder="1" applyAlignment="1">
      <alignment horizontal="left" vertical="center" indent="1"/>
    </xf>
    <xf numFmtId="0" fontId="0" fillId="6" borderId="0" xfId="0" applyFont="1" applyFill="1" applyBorder="1" applyAlignment="1">
      <alignment horizontal="left" vertical="center" indent="1"/>
    </xf>
    <xf numFmtId="0" fontId="0" fillId="6" borderId="25" xfId="0" applyFont="1" applyFill="1" applyBorder="1" applyAlignment="1">
      <alignment horizontal="left" vertical="center" indent="1"/>
    </xf>
    <xf numFmtId="197" fontId="0" fillId="6" borderId="23" xfId="0" quotePrefix="1" applyNumberFormat="1" applyFont="1" applyFill="1" applyBorder="1" applyAlignment="1">
      <alignment horizontal="left" indent="1"/>
    </xf>
    <xf numFmtId="197" fontId="0" fillId="6" borderId="5" xfId="0" quotePrefix="1" applyNumberFormat="1" applyFont="1" applyFill="1" applyBorder="1" applyAlignment="1">
      <alignment horizontal="left" indent="1"/>
    </xf>
    <xf numFmtId="197" fontId="0" fillId="6" borderId="63" xfId="0" quotePrefix="1" applyNumberFormat="1" applyFont="1" applyFill="1" applyBorder="1" applyAlignment="1">
      <alignment horizontal="left" indent="1"/>
    </xf>
    <xf numFmtId="10" fontId="0" fillId="6" borderId="57" xfId="0" applyNumberFormat="1" applyFont="1" applyFill="1" applyBorder="1" applyAlignment="1">
      <alignment horizontal="center" vertical="center"/>
    </xf>
    <xf numFmtId="0" fontId="1" fillId="10" borderId="30" xfId="0" applyFont="1" applyFill="1" applyBorder="1" applyAlignment="1">
      <alignment horizontal="left" vertical="center" wrapText="1" indent="1"/>
    </xf>
    <xf numFmtId="0" fontId="1" fillId="10" borderId="57" xfId="0" applyFont="1" applyFill="1" applyBorder="1" applyAlignment="1">
      <alignment horizontal="left" vertical="center" wrapText="1" indent="1"/>
    </xf>
    <xf numFmtId="10" fontId="0" fillId="3" borderId="61" xfId="0" applyNumberFormat="1" applyFont="1" applyFill="1" applyBorder="1" applyAlignment="1">
      <alignment horizontal="center" vertical="center"/>
    </xf>
    <xf numFmtId="10" fontId="0" fillId="3" borderId="25" xfId="0" applyNumberFormat="1" applyFont="1" applyFill="1" applyBorder="1" applyAlignment="1">
      <alignment horizontal="center" vertical="center"/>
    </xf>
    <xf numFmtId="10" fontId="0" fillId="3" borderId="62" xfId="0" applyNumberFormat="1" applyFont="1" applyFill="1" applyBorder="1" applyAlignment="1">
      <alignment horizontal="center" vertical="center"/>
    </xf>
    <xf numFmtId="10" fontId="0" fillId="3" borderId="63" xfId="0" applyNumberFormat="1" applyFont="1" applyFill="1" applyBorder="1" applyAlignment="1">
      <alignment horizontal="center" vertical="center"/>
    </xf>
    <xf numFmtId="167" fontId="0" fillId="6" borderId="61" xfId="0" applyNumberFormat="1" applyFont="1" applyFill="1" applyBorder="1" applyAlignment="1">
      <alignment horizontal="center" vertical="center"/>
    </xf>
    <xf numFmtId="167" fontId="0" fillId="6" borderId="25" xfId="0" applyNumberFormat="1" applyFont="1" applyFill="1" applyBorder="1" applyAlignment="1">
      <alignment horizontal="center" vertical="center"/>
    </xf>
    <xf numFmtId="10" fontId="0" fillId="6" borderId="61" xfId="0" applyNumberFormat="1" applyFont="1" applyFill="1" applyBorder="1" applyAlignment="1">
      <alignment horizontal="center" vertical="center"/>
    </xf>
    <xf numFmtId="10" fontId="0" fillId="6" borderId="25" xfId="0" applyNumberFormat="1" applyFont="1" applyFill="1" applyBorder="1" applyAlignment="1">
      <alignment horizontal="center" vertical="center"/>
    </xf>
    <xf numFmtId="165" fontId="0" fillId="6" borderId="61" xfId="0" applyNumberFormat="1" applyFont="1" applyFill="1" applyBorder="1" applyAlignment="1">
      <alignment horizontal="center" vertical="center"/>
    </xf>
    <xf numFmtId="165" fontId="0" fillId="6" borderId="25" xfId="0" applyNumberFormat="1" applyFont="1" applyFill="1" applyBorder="1" applyAlignment="1">
      <alignment horizontal="center" vertical="center"/>
    </xf>
    <xf numFmtId="0" fontId="1" fillId="10" borderId="23" xfId="0" applyFont="1" applyFill="1" applyBorder="1" applyAlignment="1">
      <alignment horizontal="left" vertical="center" indent="1"/>
    </xf>
    <xf numFmtId="0" fontId="1" fillId="10" borderId="5" xfId="0" applyFont="1" applyFill="1" applyBorder="1" applyAlignment="1">
      <alignment horizontal="left" vertical="center" indent="1"/>
    </xf>
    <xf numFmtId="0" fontId="1" fillId="10" borderId="5" xfId="0" applyFont="1" applyFill="1" applyBorder="1" applyAlignment="1">
      <alignment horizontal="center" vertical="center"/>
    </xf>
    <xf numFmtId="10" fontId="1" fillId="3" borderId="57" xfId="0" applyNumberFormat="1" applyFont="1" applyFill="1" applyBorder="1" applyAlignment="1">
      <alignment horizontal="center" vertical="center"/>
    </xf>
    <xf numFmtId="10" fontId="0" fillId="3" borderId="0" xfId="0" applyNumberFormat="1" applyFont="1" applyFill="1" applyBorder="1" applyAlignment="1">
      <alignment horizontal="center" vertical="center"/>
    </xf>
    <xf numFmtId="10" fontId="0" fillId="3" borderId="5" xfId="0" applyNumberFormat="1" applyFont="1" applyFill="1" applyBorder="1" applyAlignment="1">
      <alignment horizontal="center" vertical="center"/>
    </xf>
    <xf numFmtId="165" fontId="0" fillId="6" borderId="62" xfId="0" applyNumberFormat="1" applyFont="1" applyFill="1" applyBorder="1" applyAlignment="1">
      <alignment horizontal="center" vertical="center"/>
    </xf>
    <xf numFmtId="165" fontId="0" fillId="6" borderId="63" xfId="0" applyNumberFormat="1" applyFont="1" applyFill="1" applyBorder="1" applyAlignment="1">
      <alignment horizontal="center" vertical="center"/>
    </xf>
    <xf numFmtId="0" fontId="0" fillId="10" borderId="30" xfId="0" applyFont="1" applyFill="1" applyBorder="1" applyAlignment="1">
      <alignment horizontal="left" vertical="center" indent="1"/>
    </xf>
    <xf numFmtId="0" fontId="0" fillId="10" borderId="57" xfId="0" applyFont="1" applyFill="1" applyBorder="1" applyAlignment="1">
      <alignment horizontal="left" vertical="center" indent="1"/>
    </xf>
    <xf numFmtId="0" fontId="0" fillId="10" borderId="67" xfId="0" applyFont="1" applyFill="1" applyBorder="1" applyAlignment="1">
      <alignment horizontal="left" vertical="center" indent="1"/>
    </xf>
    <xf numFmtId="0" fontId="0" fillId="10" borderId="19" xfId="0" applyFont="1" applyFill="1" applyBorder="1" applyAlignment="1">
      <alignment horizontal="left" vertical="center" indent="1"/>
    </xf>
    <xf numFmtId="0" fontId="0" fillId="10" borderId="0" xfId="0" applyFont="1" applyFill="1" applyBorder="1" applyAlignment="1">
      <alignment horizontal="left" vertical="center" indent="1"/>
    </xf>
    <xf numFmtId="0" fontId="0" fillId="10" borderId="25" xfId="0" applyFont="1" applyFill="1" applyBorder="1" applyAlignment="1">
      <alignment horizontal="left" vertical="center" indent="1"/>
    </xf>
    <xf numFmtId="171" fontId="0" fillId="11" borderId="61" xfId="0" applyNumberFormat="1" applyFill="1" applyBorder="1" applyAlignment="1" applyProtection="1">
      <alignment horizontal="center" vertical="center"/>
      <protection locked="0"/>
    </xf>
    <xf numFmtId="171" fontId="0" fillId="11" borderId="36" xfId="0" applyNumberFormat="1" applyFill="1" applyBorder="1" applyAlignment="1" applyProtection="1">
      <alignment horizontal="center" vertical="center"/>
      <protection locked="0"/>
    </xf>
    <xf numFmtId="187" fontId="0" fillId="11" borderId="59" xfId="0" applyNumberFormat="1" applyFill="1" applyBorder="1" applyAlignment="1" applyProtection="1">
      <alignment horizontal="center" vertical="center"/>
      <protection locked="0"/>
    </xf>
    <xf numFmtId="187" fontId="0" fillId="11" borderId="66" xfId="0" applyNumberFormat="1" applyFill="1" applyBorder="1" applyAlignment="1" applyProtection="1">
      <alignment horizontal="center" vertical="center"/>
      <protection locked="0"/>
    </xf>
    <xf numFmtId="189" fontId="0" fillId="4" borderId="61" xfId="0" applyNumberFormat="1" applyFill="1" applyBorder="1" applyAlignment="1">
      <alignment horizontal="center" vertical="center"/>
    </xf>
    <xf numFmtId="189" fontId="0" fillId="4" borderId="36" xfId="0" applyNumberFormat="1" applyFill="1" applyBorder="1" applyAlignment="1">
      <alignment horizontal="center" vertical="center"/>
    </xf>
    <xf numFmtId="193" fontId="0" fillId="11" borderId="61" xfId="0" applyNumberFormat="1" applyFill="1" applyBorder="1" applyAlignment="1" applyProtection="1">
      <alignment horizontal="center" vertical="center"/>
      <protection locked="0"/>
    </xf>
    <xf numFmtId="193" fontId="0" fillId="11" borderId="36" xfId="0" applyNumberFormat="1" applyFill="1" applyBorder="1" applyAlignment="1" applyProtection="1">
      <alignment horizontal="center" vertical="center"/>
      <protection locked="0"/>
    </xf>
    <xf numFmtId="175" fontId="0" fillId="11" borderId="59" xfId="0" applyNumberFormat="1" applyFill="1" applyBorder="1" applyAlignment="1" applyProtection="1">
      <alignment horizontal="center" vertical="center"/>
      <protection locked="0"/>
    </xf>
    <xf numFmtId="175" fontId="0" fillId="11" borderId="66" xfId="0" applyNumberFormat="1" applyFill="1" applyBorder="1" applyAlignment="1" applyProtection="1">
      <alignment horizontal="center" vertical="center"/>
      <protection locked="0"/>
    </xf>
    <xf numFmtId="190" fontId="0" fillId="4" borderId="61" xfId="0" applyNumberFormat="1" applyFill="1" applyBorder="1" applyAlignment="1">
      <alignment horizontal="center" vertical="center"/>
    </xf>
    <xf numFmtId="190" fontId="0" fillId="4" borderId="36" xfId="0" applyNumberFormat="1" applyFill="1" applyBorder="1" applyAlignment="1">
      <alignment horizontal="center" vertical="center"/>
    </xf>
    <xf numFmtId="188" fontId="0" fillId="4" borderId="61" xfId="0" applyNumberFormat="1" applyFill="1" applyBorder="1" applyAlignment="1">
      <alignment horizontal="center" vertical="center"/>
    </xf>
    <xf numFmtId="188" fontId="0" fillId="4" borderId="36" xfId="0" applyNumberFormat="1" applyFill="1" applyBorder="1" applyAlignment="1">
      <alignment horizontal="center" vertical="center"/>
    </xf>
    <xf numFmtId="188" fontId="0" fillId="4" borderId="62" xfId="0" applyNumberFormat="1" applyFill="1" applyBorder="1" applyAlignment="1">
      <alignment horizontal="center"/>
    </xf>
    <xf numFmtId="188" fontId="0" fillId="4" borderId="32" xfId="0" applyNumberFormat="1" applyFill="1" applyBorder="1" applyAlignment="1">
      <alignment horizontal="center"/>
    </xf>
    <xf numFmtId="166" fontId="0" fillId="4" borderId="9" xfId="0" applyNumberFormat="1" applyFill="1" applyBorder="1" applyAlignment="1">
      <alignment horizontal="center" vertical="center"/>
    </xf>
    <xf numFmtId="166" fontId="0" fillId="4" borderId="11" xfId="0" applyNumberFormat="1" applyFill="1" applyBorder="1" applyAlignment="1">
      <alignment horizontal="center" vertical="center"/>
    </xf>
    <xf numFmtId="191" fontId="0" fillId="3" borderId="65" xfId="0" applyNumberFormat="1" applyFill="1" applyBorder="1" applyAlignment="1">
      <alignment horizontal="center" vertical="center"/>
    </xf>
    <xf numFmtId="191" fontId="0" fillId="3" borderId="70" xfId="0" applyNumberFormat="1" applyFill="1" applyBorder="1" applyAlignment="1">
      <alignment horizontal="center" vertical="center"/>
    </xf>
    <xf numFmtId="0" fontId="1" fillId="10" borderId="22" xfId="0" applyFont="1" applyFill="1" applyBorder="1" applyAlignment="1">
      <alignment horizontal="center" vertical="center" wrapText="1"/>
    </xf>
    <xf numFmtId="169" fontId="11" fillId="4" borderId="68" xfId="0" applyNumberFormat="1" applyFont="1" applyFill="1" applyBorder="1" applyAlignment="1">
      <alignment horizontal="center" vertical="center"/>
    </xf>
    <xf numFmtId="169" fontId="11" fillId="4" borderId="22" xfId="0" applyNumberFormat="1" applyFont="1" applyFill="1" applyBorder="1" applyAlignment="1">
      <alignment horizontal="center" vertical="center"/>
    </xf>
    <xf numFmtId="0" fontId="5" fillId="0" borderId="0" xfId="1" applyFont="1" applyFill="1" applyBorder="1" applyAlignment="1" applyProtection="1">
      <alignment horizontal="center" vertical="center"/>
      <protection locked="0" hidden="1"/>
    </xf>
    <xf numFmtId="0" fontId="1" fillId="11" borderId="9" xfId="0" applyFont="1" applyFill="1" applyBorder="1" applyAlignment="1" applyProtection="1">
      <alignment horizontal="center" vertical="center"/>
      <protection locked="0"/>
    </xf>
    <xf numFmtId="0" fontId="1" fillId="11" borderId="11" xfId="0" applyFont="1" applyFill="1" applyBorder="1" applyAlignment="1" applyProtection="1">
      <alignment horizontal="center" vertical="center"/>
      <protection locked="0"/>
    </xf>
    <xf numFmtId="0" fontId="1" fillId="11" borderId="59" xfId="0" applyFont="1" applyFill="1" applyBorder="1" applyAlignment="1" applyProtection="1">
      <alignment horizontal="center" vertical="center"/>
      <protection locked="0"/>
    </xf>
    <xf numFmtId="0" fontId="1" fillId="11" borderId="66" xfId="0" applyFont="1" applyFill="1" applyBorder="1" applyAlignment="1" applyProtection="1">
      <alignment horizontal="center" vertical="center"/>
      <protection locked="0"/>
    </xf>
    <xf numFmtId="196" fontId="0" fillId="11" borderId="61" xfId="0" applyNumberFormat="1" applyFill="1" applyBorder="1" applyAlignment="1" applyProtection="1">
      <alignment horizontal="center" vertical="center"/>
      <protection locked="0"/>
    </xf>
    <xf numFmtId="196" fontId="0" fillId="11" borderId="36" xfId="0" applyNumberFormat="1" applyFill="1" applyBorder="1" applyAlignment="1" applyProtection="1">
      <alignment horizontal="center" vertical="center"/>
      <protection locked="0"/>
    </xf>
    <xf numFmtId="0" fontId="1" fillId="6" borderId="27" xfId="0" applyFont="1" applyFill="1" applyBorder="1" applyAlignment="1">
      <alignment horizontal="left" vertical="center" indent="1"/>
    </xf>
    <xf numFmtId="0" fontId="1" fillId="6" borderId="10" xfId="0" applyFont="1" applyFill="1" applyBorder="1" applyAlignment="1">
      <alignment horizontal="left" vertical="center" indent="1"/>
    </xf>
    <xf numFmtId="0" fontId="1" fillId="6" borderId="24" xfId="0" applyFont="1" applyFill="1" applyBorder="1" applyAlignment="1">
      <alignment horizontal="left" vertical="center" indent="1"/>
    </xf>
    <xf numFmtId="0" fontId="1" fillId="6" borderId="28" xfId="0" applyFont="1" applyFill="1" applyBorder="1" applyAlignment="1">
      <alignment horizontal="left" vertical="center" indent="1"/>
    </xf>
    <xf numFmtId="0" fontId="1" fillId="6" borderId="31" xfId="0" applyFont="1" applyFill="1" applyBorder="1" applyAlignment="1">
      <alignment horizontal="left" vertical="center" indent="1"/>
    </xf>
    <xf numFmtId="0" fontId="1" fillId="6" borderId="34" xfId="0" applyFont="1" applyFill="1" applyBorder="1" applyAlignment="1">
      <alignment horizontal="left" vertical="center" indent="1"/>
    </xf>
    <xf numFmtId="0" fontId="0" fillId="6" borderId="58" xfId="0" applyFont="1" applyFill="1" applyBorder="1" applyAlignment="1">
      <alignment horizontal="left" vertical="center" indent="1"/>
    </xf>
    <xf numFmtId="0" fontId="0" fillId="6" borderId="18" xfId="0" applyFont="1" applyFill="1" applyBorder="1" applyAlignment="1">
      <alignment horizontal="left" vertical="center" indent="1"/>
    </xf>
    <xf numFmtId="0" fontId="0" fillId="6" borderId="20" xfId="0" applyFont="1" applyFill="1" applyBorder="1" applyAlignment="1">
      <alignment horizontal="left" vertical="center" indent="1"/>
    </xf>
    <xf numFmtId="195" fontId="0" fillId="6" borderId="19" xfId="0" applyNumberFormat="1" applyFont="1" applyFill="1" applyBorder="1" applyAlignment="1">
      <alignment horizontal="left" vertical="center" indent="1"/>
    </xf>
    <xf numFmtId="195" fontId="0" fillId="6" borderId="0" xfId="0" applyNumberFormat="1" applyFont="1" applyFill="1" applyBorder="1" applyAlignment="1">
      <alignment horizontal="left" vertical="center" indent="1"/>
    </xf>
    <xf numFmtId="195" fontId="0" fillId="6" borderId="25" xfId="0" applyNumberFormat="1" applyFont="1" applyFill="1" applyBorder="1" applyAlignment="1">
      <alignment horizontal="left" vertical="center" indent="1"/>
    </xf>
    <xf numFmtId="192" fontId="11" fillId="11" borderId="61" xfId="0" applyNumberFormat="1" applyFont="1" applyFill="1" applyBorder="1" applyAlignment="1" applyProtection="1">
      <alignment horizontal="center" vertical="center"/>
      <protection locked="0"/>
    </xf>
    <xf numFmtId="192" fontId="11" fillId="11" borderId="36" xfId="0" applyNumberFormat="1" applyFont="1" applyFill="1" applyBorder="1" applyAlignment="1" applyProtection="1">
      <alignment horizontal="center" vertical="center"/>
      <protection locked="0"/>
    </xf>
    <xf numFmtId="0" fontId="1" fillId="12" borderId="15" xfId="0" applyFont="1" applyFill="1" applyBorder="1" applyAlignment="1">
      <alignment horizontal="center"/>
    </xf>
    <xf numFmtId="0" fontId="1" fillId="12" borderId="4" xfId="0" applyFont="1" applyFill="1" applyBorder="1" applyAlignment="1">
      <alignment horizontal="center"/>
    </xf>
    <xf numFmtId="180" fontId="0" fillId="4" borderId="62" xfId="0" applyNumberFormat="1" applyFill="1" applyBorder="1" applyAlignment="1">
      <alignment horizontal="center"/>
    </xf>
    <xf numFmtId="180" fontId="0" fillId="4" borderId="32" xfId="0" applyNumberFormat="1" applyFill="1" applyBorder="1" applyAlignment="1">
      <alignment horizontal="center"/>
    </xf>
    <xf numFmtId="0" fontId="0" fillId="6" borderId="23" xfId="0" applyFont="1" applyFill="1" applyBorder="1" applyAlignment="1">
      <alignment horizontal="left" indent="1"/>
    </xf>
    <xf numFmtId="0" fontId="0" fillId="6" borderId="5" xfId="0" applyFont="1" applyFill="1" applyBorder="1" applyAlignment="1">
      <alignment horizontal="left" indent="1"/>
    </xf>
    <xf numFmtId="0" fontId="0" fillId="6" borderId="63" xfId="0" applyFont="1" applyFill="1" applyBorder="1" applyAlignment="1">
      <alignment horizontal="left" indent="1"/>
    </xf>
    <xf numFmtId="166" fontId="0" fillId="6" borderId="9" xfId="0" applyNumberFormat="1" applyFont="1" applyFill="1" applyBorder="1" applyAlignment="1">
      <alignment horizontal="center" vertical="center"/>
    </xf>
    <xf numFmtId="166" fontId="0" fillId="6" borderId="24" xfId="0" applyNumberFormat="1" applyFont="1" applyFill="1" applyBorder="1" applyAlignment="1">
      <alignment horizontal="center" vertical="center"/>
    </xf>
    <xf numFmtId="0" fontId="1" fillId="10" borderId="57" xfId="0" applyFont="1" applyFill="1" applyBorder="1" applyAlignment="1">
      <alignment horizontal="center" vertical="center" wrapText="1"/>
    </xf>
    <xf numFmtId="10" fontId="0" fillId="6" borderId="68" xfId="0" applyNumberFormat="1" applyFont="1" applyFill="1" applyBorder="1" applyAlignment="1">
      <alignment horizontal="center" vertical="center"/>
    </xf>
    <xf numFmtId="10" fontId="0" fillId="6" borderId="67" xfId="0" applyNumberFormat="1" applyFont="1" applyFill="1" applyBorder="1" applyAlignment="1">
      <alignment horizontal="center" vertical="center"/>
    </xf>
    <xf numFmtId="166" fontId="0" fillId="6" borderId="61" xfId="0" applyNumberFormat="1" applyFont="1" applyFill="1" applyBorder="1" applyAlignment="1">
      <alignment horizontal="center" vertical="center"/>
    </xf>
    <xf numFmtId="166" fontId="0" fillId="6" borderId="25" xfId="0" applyNumberFormat="1" applyFont="1" applyFill="1" applyBorder="1" applyAlignment="1">
      <alignment horizontal="center" vertical="center"/>
    </xf>
    <xf numFmtId="169" fontId="0" fillId="4" borderId="62" xfId="0" applyNumberFormat="1" applyFill="1" applyBorder="1" applyAlignment="1">
      <alignment horizontal="center"/>
    </xf>
    <xf numFmtId="169" fontId="0" fillId="4" borderId="32" xfId="0" applyNumberFormat="1" applyFill="1" applyBorder="1" applyAlignment="1">
      <alignment horizontal="center"/>
    </xf>
    <xf numFmtId="169" fontId="1" fillId="3" borderId="68" xfId="0" applyNumberFormat="1" applyFont="1" applyFill="1" applyBorder="1" applyAlignment="1">
      <alignment horizontal="center" vertical="center"/>
    </xf>
    <xf numFmtId="169" fontId="1" fillId="3" borderId="22" xfId="0" applyNumberFormat="1" applyFont="1" applyFill="1" applyBorder="1" applyAlignment="1">
      <alignment horizontal="center" vertical="center"/>
    </xf>
    <xf numFmtId="10" fontId="1" fillId="3" borderId="68" xfId="0" applyNumberFormat="1" applyFont="1" applyFill="1" applyBorder="1" applyAlignment="1">
      <alignment horizontal="center" vertical="center"/>
    </xf>
    <xf numFmtId="10" fontId="1" fillId="3" borderId="67" xfId="0" applyNumberFormat="1" applyFont="1" applyFill="1" applyBorder="1" applyAlignment="1">
      <alignment horizontal="center" vertical="center"/>
    </xf>
    <xf numFmtId="169" fontId="0" fillId="3" borderId="61" xfId="0" applyNumberFormat="1" applyFont="1" applyFill="1" applyBorder="1" applyAlignment="1">
      <alignment horizontal="center" vertical="center"/>
    </xf>
    <xf numFmtId="169" fontId="0" fillId="3" borderId="36" xfId="0" applyNumberFormat="1" applyFont="1" applyFill="1" applyBorder="1" applyAlignment="1">
      <alignment horizontal="center" vertical="center"/>
    </xf>
    <xf numFmtId="169" fontId="1" fillId="3" borderId="57" xfId="0" applyNumberFormat="1" applyFont="1" applyFill="1" applyBorder="1" applyAlignment="1">
      <alignment horizontal="center" vertical="center"/>
    </xf>
    <xf numFmtId="169" fontId="0" fillId="3" borderId="0" xfId="0" applyNumberFormat="1" applyFont="1" applyFill="1" applyBorder="1" applyAlignment="1">
      <alignment horizontal="center" vertical="center"/>
    </xf>
    <xf numFmtId="169" fontId="0" fillId="4" borderId="5" xfId="0" applyNumberFormat="1" applyFill="1" applyBorder="1" applyAlignment="1">
      <alignment horizontal="center"/>
    </xf>
    <xf numFmtId="0" fontId="1" fillId="5" borderId="64" xfId="0" applyFont="1" applyFill="1" applyBorder="1" applyAlignment="1">
      <alignment horizontal="center" vertical="center"/>
    </xf>
    <xf numFmtId="0" fontId="1" fillId="5" borderId="60" xfId="0" applyFont="1" applyFill="1" applyBorder="1" applyAlignment="1">
      <alignment horizontal="center" vertical="center"/>
    </xf>
    <xf numFmtId="166" fontId="0" fillId="3" borderId="61" xfId="0" applyNumberFormat="1" applyFill="1" applyBorder="1" applyAlignment="1">
      <alignment horizontal="center" vertical="center"/>
    </xf>
    <xf numFmtId="166" fontId="0" fillId="3" borderId="25" xfId="0" applyNumberFormat="1" applyFill="1" applyBorder="1" applyAlignment="1">
      <alignment horizontal="center" vertical="center"/>
    </xf>
    <xf numFmtId="169" fontId="0" fillId="3" borderId="62" xfId="0" applyNumberFormat="1" applyFont="1" applyFill="1" applyBorder="1" applyAlignment="1">
      <alignment horizontal="center" vertical="center"/>
    </xf>
    <xf numFmtId="169" fontId="0" fillId="3" borderId="32" xfId="0" applyNumberFormat="1" applyFont="1" applyFill="1" applyBorder="1" applyAlignment="1">
      <alignment horizontal="center" vertical="center"/>
    </xf>
    <xf numFmtId="0" fontId="0" fillId="10" borderId="19" xfId="0" applyFill="1" applyBorder="1" applyAlignment="1">
      <alignment horizontal="left" vertical="center" wrapText="1" indent="1"/>
    </xf>
    <xf numFmtId="0" fontId="0" fillId="10" borderId="0" xfId="0" applyFill="1" applyBorder="1" applyAlignment="1">
      <alignment horizontal="left" vertical="center" wrapText="1" indent="1"/>
    </xf>
    <xf numFmtId="0" fontId="0" fillId="10" borderId="58" xfId="0" applyFill="1" applyBorder="1" applyAlignment="1">
      <alignment horizontal="left" vertical="center" wrapText="1" indent="1"/>
    </xf>
    <xf numFmtId="0" fontId="0" fillId="10" borderId="18" xfId="0" applyFill="1" applyBorder="1" applyAlignment="1">
      <alignment horizontal="left" vertical="center" wrapText="1" indent="1"/>
    </xf>
    <xf numFmtId="166" fontId="11" fillId="4" borderId="75" xfId="0" applyNumberFormat="1" applyFont="1" applyFill="1" applyBorder="1" applyAlignment="1" applyProtection="1">
      <alignment horizontal="center" vertical="center"/>
    </xf>
    <xf numFmtId="166" fontId="11" fillId="4" borderId="43" xfId="0" applyNumberFormat="1" applyFont="1" applyFill="1" applyBorder="1" applyAlignment="1" applyProtection="1">
      <alignment horizontal="center" vertical="center"/>
    </xf>
    <xf numFmtId="169" fontId="11" fillId="4" borderId="43" xfId="0" applyNumberFormat="1" applyFont="1" applyFill="1" applyBorder="1" applyAlignment="1" applyProtection="1">
      <alignment horizontal="center" vertical="center"/>
    </xf>
    <xf numFmtId="169" fontId="11" fillId="4" borderId="37" xfId="0" applyNumberFormat="1" applyFont="1" applyFill="1" applyBorder="1" applyAlignment="1" applyProtection="1">
      <alignment horizontal="center" vertical="center"/>
    </xf>
    <xf numFmtId="0" fontId="0" fillId="10" borderId="5" xfId="0" applyFill="1" applyBorder="1" applyAlignment="1">
      <alignment horizontal="center" vertical="center"/>
    </xf>
    <xf numFmtId="0" fontId="0" fillId="10" borderId="63" xfId="0" applyFill="1" applyBorder="1" applyAlignment="1">
      <alignment horizontal="center" vertical="center"/>
    </xf>
    <xf numFmtId="0" fontId="37" fillId="10" borderId="19" xfId="0" applyFont="1" applyFill="1" applyBorder="1" applyAlignment="1">
      <alignment horizontal="left" vertical="center" indent="1"/>
    </xf>
    <xf numFmtId="0" fontId="37" fillId="10" borderId="0" xfId="0" applyFont="1" applyFill="1" applyBorder="1" applyAlignment="1">
      <alignment horizontal="left" vertical="center" indent="1"/>
    </xf>
    <xf numFmtId="166" fontId="0" fillId="11" borderId="29" xfId="0" applyNumberFormat="1" applyFont="1" applyFill="1" applyBorder="1" applyAlignment="1" applyProtection="1">
      <alignment horizontal="center" vertical="center"/>
      <protection locked="0"/>
    </xf>
    <xf numFmtId="167" fontId="0" fillId="11" borderId="29" xfId="0" applyNumberFormat="1" applyFont="1" applyFill="1" applyBorder="1" applyAlignment="1" applyProtection="1">
      <alignment horizontal="center" vertical="center"/>
      <protection locked="0"/>
    </xf>
    <xf numFmtId="0" fontId="37" fillId="10" borderId="19" xfId="0" applyFont="1" applyFill="1" applyBorder="1" applyAlignment="1">
      <alignment horizontal="left" vertical="center" wrapText="1" indent="1"/>
    </xf>
    <xf numFmtId="0" fontId="37" fillId="10" borderId="0" xfId="0" applyFont="1" applyFill="1" applyBorder="1" applyAlignment="1">
      <alignment horizontal="left" vertical="center" wrapText="1" indent="1"/>
    </xf>
    <xf numFmtId="199" fontId="0" fillId="11" borderId="29" xfId="0" applyNumberFormat="1" applyFont="1" applyFill="1" applyBorder="1" applyAlignment="1" applyProtection="1">
      <alignment horizontal="center" vertical="center"/>
      <protection locked="0"/>
    </xf>
    <xf numFmtId="0" fontId="37" fillId="10" borderId="25" xfId="0" applyFont="1" applyFill="1" applyBorder="1" applyAlignment="1">
      <alignment horizontal="left" vertical="center" wrapText="1" indent="1"/>
    </xf>
    <xf numFmtId="173" fontId="0" fillId="11" borderId="29" xfId="0" applyNumberFormat="1" applyFont="1" applyFill="1" applyBorder="1" applyAlignment="1" applyProtection="1">
      <alignment horizontal="center" vertical="center"/>
      <protection locked="0"/>
    </xf>
    <xf numFmtId="166" fontId="0" fillId="3" borderId="62" xfId="0" applyNumberFormat="1" applyFill="1" applyBorder="1" applyAlignment="1">
      <alignment horizontal="center" vertical="center"/>
    </xf>
    <xf numFmtId="166" fontId="0" fillId="3" borderId="63" xfId="0" applyNumberFormat="1" applyFill="1" applyBorder="1" applyAlignment="1">
      <alignment horizontal="center" vertical="center"/>
    </xf>
    <xf numFmtId="200" fontId="0" fillId="11" borderId="29" xfId="0" applyNumberFormat="1" applyFont="1" applyFill="1" applyBorder="1" applyAlignment="1" applyProtection="1">
      <alignment horizontal="center" vertical="center"/>
      <protection locked="0"/>
    </xf>
    <xf numFmtId="10" fontId="1" fillId="3" borderId="68" xfId="3" applyNumberFormat="1" applyFont="1" applyFill="1" applyBorder="1" applyAlignment="1">
      <alignment horizontal="center" vertical="center"/>
    </xf>
    <xf numFmtId="10" fontId="1" fillId="3" borderId="67" xfId="3" applyNumberFormat="1" applyFont="1" applyFill="1" applyBorder="1" applyAlignment="1">
      <alignment horizontal="center" vertical="center"/>
    </xf>
    <xf numFmtId="10" fontId="0" fillId="3" borderId="61" xfId="3" applyNumberFormat="1" applyFont="1" applyFill="1" applyBorder="1" applyAlignment="1">
      <alignment horizontal="center" vertical="center"/>
    </xf>
    <xf numFmtId="10" fontId="0" fillId="3" borderId="25" xfId="3" applyNumberFormat="1" applyFont="1" applyFill="1" applyBorder="1" applyAlignment="1">
      <alignment horizontal="center" vertical="center"/>
    </xf>
    <xf numFmtId="10" fontId="0" fillId="3" borderId="59" xfId="3" applyNumberFormat="1" applyFont="1" applyFill="1" applyBorder="1" applyAlignment="1">
      <alignment horizontal="center" vertical="center"/>
    </xf>
    <xf numFmtId="10" fontId="0" fillId="3" borderId="20" xfId="3" applyNumberFormat="1" applyFont="1" applyFill="1" applyBorder="1" applyAlignment="1">
      <alignment horizontal="center" vertical="center"/>
    </xf>
    <xf numFmtId="0" fontId="0" fillId="4" borderId="65" xfId="0" applyFill="1" applyBorder="1" applyAlignment="1">
      <alignment horizontal="center" vertical="center"/>
    </xf>
    <xf numFmtId="0" fontId="0" fillId="4" borderId="70" xfId="0" applyFill="1" applyBorder="1" applyAlignment="1">
      <alignment horizontal="center" vertical="center"/>
    </xf>
    <xf numFmtId="1" fontId="0" fillId="4" borderId="61" xfId="0" applyNumberFormat="1" applyFill="1" applyBorder="1" applyAlignment="1">
      <alignment horizontal="center" vertical="center"/>
    </xf>
    <xf numFmtId="1" fontId="0" fillId="4" borderId="36" xfId="0" applyNumberFormat="1" applyFill="1" applyBorder="1" applyAlignment="1">
      <alignment horizontal="center" vertical="center"/>
    </xf>
    <xf numFmtId="0" fontId="0" fillId="10" borderId="0" xfId="0" applyFill="1" applyBorder="1" applyAlignment="1">
      <alignment horizontal="center" vertical="center"/>
    </xf>
    <xf numFmtId="0" fontId="0" fillId="10" borderId="25" xfId="0" applyFill="1" applyBorder="1" applyAlignment="1">
      <alignment horizontal="center" vertical="center"/>
    </xf>
    <xf numFmtId="0" fontId="0" fillId="10" borderId="30" xfId="0" applyFill="1" applyBorder="1" applyAlignment="1">
      <alignment horizontal="center" vertical="center"/>
    </xf>
    <xf numFmtId="0" fontId="0" fillId="10" borderId="67" xfId="0" applyFill="1" applyBorder="1" applyAlignment="1">
      <alignment horizontal="center" vertical="center"/>
    </xf>
    <xf numFmtId="201" fontId="0" fillId="4" borderId="57" xfId="0" applyNumberFormat="1" applyFill="1" applyBorder="1" applyAlignment="1">
      <alignment horizontal="center" vertical="center"/>
    </xf>
    <xf numFmtId="201" fontId="0" fillId="4" borderId="22" xfId="0" applyNumberFormat="1" applyFill="1" applyBorder="1" applyAlignment="1">
      <alignment horizontal="center" vertical="center"/>
    </xf>
    <xf numFmtId="0" fontId="0" fillId="10" borderId="19" xfId="0" applyFill="1" applyBorder="1" applyAlignment="1">
      <alignment horizontal="center" vertical="center"/>
    </xf>
    <xf numFmtId="190" fontId="0" fillId="4" borderId="61" xfId="0" applyNumberFormat="1" applyFont="1" applyFill="1" applyBorder="1" applyAlignment="1" applyProtection="1">
      <alignment horizontal="center" vertical="center"/>
    </xf>
    <xf numFmtId="190" fontId="0" fillId="4" borderId="36" xfId="0" applyNumberFormat="1" applyFont="1" applyFill="1" applyBorder="1" applyAlignment="1" applyProtection="1">
      <alignment horizontal="center" vertical="center"/>
    </xf>
    <xf numFmtId="0" fontId="0" fillId="10" borderId="58" xfId="0" applyFill="1" applyBorder="1" applyAlignment="1">
      <alignment horizontal="center" vertical="center"/>
    </xf>
    <xf numFmtId="0" fontId="0" fillId="10" borderId="20" xfId="0" applyFill="1" applyBorder="1" applyAlignment="1">
      <alignment horizontal="center" vertical="center"/>
    </xf>
    <xf numFmtId="0" fontId="1" fillId="5" borderId="62" xfId="0" applyFont="1" applyFill="1" applyBorder="1" applyAlignment="1">
      <alignment horizontal="center" vertical="center"/>
    </xf>
    <xf numFmtId="0" fontId="1" fillId="5" borderId="63" xfId="0" applyFont="1" applyFill="1" applyBorder="1" applyAlignment="1">
      <alignment horizontal="center" vertical="center"/>
    </xf>
    <xf numFmtId="166" fontId="1" fillId="3" borderId="61" xfId="0" applyNumberFormat="1" applyFont="1" applyFill="1" applyBorder="1" applyAlignment="1">
      <alignment horizontal="center" vertical="center"/>
    </xf>
    <xf numFmtId="166" fontId="1" fillId="3" borderId="25" xfId="0" applyNumberFormat="1" applyFont="1" applyFill="1" applyBorder="1" applyAlignment="1">
      <alignment horizontal="center" vertical="center"/>
    </xf>
    <xf numFmtId="0" fontId="34" fillId="13" borderId="30" xfId="0" applyFont="1" applyFill="1" applyBorder="1" applyAlignment="1">
      <alignment horizontal="center" vertical="center"/>
    </xf>
    <xf numFmtId="0" fontId="34" fillId="13" borderId="57" xfId="0" applyFont="1" applyFill="1" applyBorder="1" applyAlignment="1">
      <alignment horizontal="center" vertical="center"/>
    </xf>
    <xf numFmtId="0" fontId="34" fillId="13" borderId="22" xfId="0" applyFont="1" applyFill="1" applyBorder="1" applyAlignment="1">
      <alignment horizontal="center" vertical="center"/>
    </xf>
    <xf numFmtId="0" fontId="34" fillId="13" borderId="23" xfId="0" applyFont="1" applyFill="1" applyBorder="1" applyAlignment="1">
      <alignment horizontal="center" vertical="center"/>
    </xf>
    <xf numFmtId="0" fontId="34" fillId="13" borderId="5" xfId="0" applyFont="1" applyFill="1" applyBorder="1" applyAlignment="1">
      <alignment horizontal="center" vertical="center"/>
    </xf>
    <xf numFmtId="0" fontId="34" fillId="13" borderId="32" xfId="0" applyFont="1" applyFill="1" applyBorder="1" applyAlignment="1">
      <alignment horizontal="center" vertical="center"/>
    </xf>
    <xf numFmtId="10" fontId="0" fillId="3" borderId="62" xfId="3" applyNumberFormat="1" applyFont="1" applyFill="1" applyBorder="1" applyAlignment="1">
      <alignment horizontal="center" vertical="center"/>
    </xf>
    <xf numFmtId="10" fontId="0" fillId="3" borderId="63" xfId="3" applyNumberFormat="1" applyFont="1" applyFill="1" applyBorder="1" applyAlignment="1">
      <alignment horizontal="center" vertical="center"/>
    </xf>
    <xf numFmtId="0" fontId="1" fillId="10" borderId="3"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57" xfId="0" applyFont="1" applyFill="1" applyBorder="1" applyAlignment="1">
      <alignment horizontal="center" vertical="center"/>
    </xf>
    <xf numFmtId="0" fontId="1" fillId="10" borderId="22" xfId="0" applyFont="1" applyFill="1" applyBorder="1" applyAlignment="1">
      <alignment horizontal="center" vertical="center"/>
    </xf>
    <xf numFmtId="0" fontId="1" fillId="10" borderId="32" xfId="0" applyFont="1" applyFill="1" applyBorder="1" applyAlignment="1">
      <alignment horizontal="center" vertical="center"/>
    </xf>
    <xf numFmtId="0" fontId="0" fillId="10" borderId="57" xfId="0" applyFill="1" applyBorder="1" applyAlignment="1">
      <alignment horizontal="center" vertical="center"/>
    </xf>
    <xf numFmtId="169" fontId="0" fillId="3" borderId="5" xfId="0" applyNumberFormat="1" applyFont="1" applyFill="1" applyBorder="1" applyAlignment="1">
      <alignment horizontal="center" vertical="center"/>
    </xf>
    <xf numFmtId="0" fontId="19" fillId="13" borderId="15" xfId="0" applyFont="1" applyFill="1" applyBorder="1" applyAlignment="1">
      <alignment horizontal="center" vertical="center"/>
    </xf>
    <xf numFmtId="0" fontId="19" fillId="13" borderId="3" xfId="0" applyFont="1" applyFill="1" applyBorder="1" applyAlignment="1">
      <alignment horizontal="center" vertical="center"/>
    </xf>
    <xf numFmtId="0" fontId="19" fillId="13" borderId="4" xfId="0" applyFont="1" applyFill="1" applyBorder="1" applyAlignment="1">
      <alignment horizontal="center" vertical="center"/>
    </xf>
    <xf numFmtId="0" fontId="1" fillId="10" borderId="15" xfId="0" applyFont="1" applyFill="1" applyBorder="1" applyAlignment="1">
      <alignment horizontal="center" vertical="center" wrapText="1"/>
    </xf>
    <xf numFmtId="0" fontId="1" fillId="10" borderId="3"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1" fillId="10" borderId="30" xfId="0" applyFont="1" applyFill="1" applyBorder="1" applyAlignment="1">
      <alignment horizontal="center" vertical="center" wrapText="1"/>
    </xf>
    <xf numFmtId="0" fontId="1" fillId="10" borderId="19" xfId="0" applyFont="1" applyFill="1" applyBorder="1" applyAlignment="1">
      <alignment horizontal="center" vertical="center" wrapText="1"/>
    </xf>
    <xf numFmtId="0" fontId="1" fillId="10" borderId="0" xfId="0" applyFont="1" applyFill="1" applyBorder="1" applyAlignment="1">
      <alignment horizontal="center" vertical="center" wrapText="1"/>
    </xf>
    <xf numFmtId="0" fontId="1" fillId="10" borderId="36" xfId="0"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 xfId="0" applyFont="1" applyFill="1" applyBorder="1" applyAlignment="1">
      <alignment horizontal="center" vertical="center" wrapText="1"/>
    </xf>
    <xf numFmtId="0" fontId="1" fillId="0" borderId="15" xfId="0" applyFont="1" applyBorder="1" applyAlignment="1">
      <alignment horizontal="center" vertical="center"/>
    </xf>
    <xf numFmtId="0" fontId="1" fillId="0" borderId="3" xfId="0" applyFont="1" applyBorder="1" applyAlignment="1">
      <alignment horizontal="center" vertical="center"/>
    </xf>
    <xf numFmtId="0" fontId="0" fillId="10" borderId="23" xfId="0" applyFill="1" applyBorder="1" applyAlignment="1">
      <alignment horizontal="center" vertical="center"/>
    </xf>
    <xf numFmtId="10" fontId="1" fillId="3" borderId="61" xfId="3" applyNumberFormat="1" applyFont="1" applyFill="1" applyBorder="1" applyAlignment="1">
      <alignment horizontal="center" vertical="center"/>
    </xf>
    <xf numFmtId="10" fontId="1" fillId="3" borderId="25" xfId="3" applyNumberFormat="1" applyFont="1" applyFill="1" applyBorder="1" applyAlignment="1">
      <alignment horizontal="center" vertical="center"/>
    </xf>
    <xf numFmtId="166" fontId="0" fillId="3" borderId="68" xfId="0" applyNumberFormat="1" applyFill="1" applyBorder="1" applyAlignment="1">
      <alignment horizontal="center" vertical="center"/>
    </xf>
    <xf numFmtId="166" fontId="0" fillId="3" borderId="67" xfId="0" applyNumberFormat="1" applyFill="1" applyBorder="1" applyAlignment="1">
      <alignment horizontal="center" vertical="center"/>
    </xf>
    <xf numFmtId="166" fontId="0" fillId="3" borderId="59" xfId="0" applyNumberFormat="1" applyFill="1" applyBorder="1" applyAlignment="1">
      <alignment horizontal="center" vertical="center"/>
    </xf>
    <xf numFmtId="166" fontId="0" fillId="3" borderId="20" xfId="0" applyNumberFormat="1" applyFill="1" applyBorder="1" applyAlignment="1">
      <alignment horizontal="center" vertical="center"/>
    </xf>
    <xf numFmtId="166" fontId="1" fillId="3" borderId="68" xfId="0" applyNumberFormat="1" applyFont="1" applyFill="1" applyBorder="1" applyAlignment="1">
      <alignment horizontal="center" vertical="center"/>
    </xf>
    <xf numFmtId="166" fontId="1" fillId="3" borderId="67" xfId="0" applyNumberFormat="1" applyFont="1" applyFill="1" applyBorder="1" applyAlignment="1">
      <alignment horizontal="center" vertical="center"/>
    </xf>
    <xf numFmtId="0" fontId="0" fillId="10" borderId="76" xfId="0" applyFill="1" applyBorder="1" applyAlignment="1">
      <alignment horizontal="center" vertical="center"/>
    </xf>
    <xf numFmtId="0" fontId="0" fillId="10" borderId="38" xfId="0" applyFill="1" applyBorder="1" applyAlignment="1">
      <alignment horizontal="center" vertical="center"/>
    </xf>
    <xf numFmtId="0" fontId="0" fillId="10" borderId="78" xfId="0" applyFill="1" applyBorder="1" applyAlignment="1">
      <alignment horizontal="center" vertical="center"/>
    </xf>
    <xf numFmtId="0" fontId="37" fillId="10" borderId="25" xfId="0" applyFont="1" applyFill="1" applyBorder="1" applyAlignment="1">
      <alignment horizontal="left" vertical="center" indent="1"/>
    </xf>
    <xf numFmtId="0" fontId="37" fillId="10" borderId="23" xfId="0" applyFont="1" applyFill="1" applyBorder="1" applyAlignment="1">
      <alignment horizontal="left" vertical="center" indent="1"/>
    </xf>
    <xf numFmtId="0" fontId="37" fillId="10" borderId="63" xfId="0" applyFont="1" applyFill="1" applyBorder="1" applyAlignment="1">
      <alignment horizontal="left" vertical="center" indent="1"/>
    </xf>
    <xf numFmtId="200" fontId="0" fillId="11" borderId="73" xfId="0" applyNumberFormat="1" applyFont="1" applyFill="1" applyBorder="1" applyAlignment="1" applyProtection="1">
      <alignment horizontal="center" vertical="center"/>
      <protection locked="0"/>
    </xf>
    <xf numFmtId="1" fontId="0" fillId="4" borderId="62" xfId="0" applyNumberFormat="1" applyFill="1" applyBorder="1" applyAlignment="1">
      <alignment horizontal="center" vertical="center"/>
    </xf>
    <xf numFmtId="1" fontId="0" fillId="4" borderId="32" xfId="0" applyNumberFormat="1" applyFill="1" applyBorder="1" applyAlignment="1">
      <alignment horizontal="center" vertical="center"/>
    </xf>
    <xf numFmtId="0" fontId="0" fillId="5" borderId="78" xfId="0" applyFill="1" applyBorder="1" applyAlignment="1">
      <alignment horizontal="left" vertical="center" wrapText="1"/>
    </xf>
    <xf numFmtId="0" fontId="0" fillId="5" borderId="82" xfId="0" applyFill="1" applyBorder="1" applyAlignment="1">
      <alignment horizontal="left" vertical="center" wrapText="1"/>
    </xf>
    <xf numFmtId="166" fontId="1" fillId="12" borderId="80" xfId="0" applyNumberFormat="1" applyFont="1" applyFill="1" applyBorder="1" applyAlignment="1">
      <alignment horizontal="center" vertical="center"/>
    </xf>
    <xf numFmtId="166" fontId="1" fillId="12" borderId="73" xfId="0" applyNumberFormat="1" applyFont="1" applyFill="1" applyBorder="1" applyAlignment="1">
      <alignment horizontal="center" vertical="center"/>
    </xf>
    <xf numFmtId="0" fontId="1" fillId="12" borderId="15" xfId="0" applyFont="1" applyFill="1" applyBorder="1" applyAlignment="1">
      <alignment horizontal="center" vertical="center"/>
    </xf>
    <xf numFmtId="0" fontId="1" fillId="12" borderId="4" xfId="0" applyFont="1" applyFill="1" applyBorder="1" applyAlignment="1">
      <alignment horizontal="center" vertical="center"/>
    </xf>
    <xf numFmtId="0" fontId="0" fillId="5" borderId="81" xfId="0" applyFill="1" applyBorder="1" applyAlignment="1">
      <alignment horizontal="left" vertical="center" wrapText="1"/>
    </xf>
    <xf numFmtId="0" fontId="0" fillId="5" borderId="38" xfId="0" applyFill="1" applyBorder="1" applyAlignment="1">
      <alignment horizontal="left" vertical="center" wrapText="1"/>
    </xf>
    <xf numFmtId="1" fontId="1" fillId="12" borderId="72" xfId="0" applyNumberFormat="1" applyFont="1" applyFill="1" applyBorder="1" applyAlignment="1">
      <alignment horizontal="center" vertical="center"/>
    </xf>
    <xf numFmtId="1" fontId="1" fillId="12" borderId="42" xfId="0" applyNumberFormat="1" applyFont="1" applyFill="1" applyBorder="1" applyAlignment="1">
      <alignment horizontal="center" vertical="center"/>
    </xf>
    <xf numFmtId="10" fontId="1" fillId="12" borderId="80" xfId="0" applyNumberFormat="1" applyFont="1" applyFill="1" applyBorder="1" applyAlignment="1">
      <alignment horizontal="center" vertical="center"/>
    </xf>
    <xf numFmtId="10" fontId="1" fillId="12" borderId="42" xfId="0" applyNumberFormat="1" applyFont="1" applyFill="1" applyBorder="1" applyAlignment="1">
      <alignment horizontal="center" vertical="center"/>
    </xf>
    <xf numFmtId="166" fontId="1" fillId="12" borderId="80" xfId="0" applyNumberFormat="1" applyFont="1" applyFill="1" applyBorder="1" applyAlignment="1">
      <alignment horizontal="center" vertical="center" wrapText="1"/>
    </xf>
    <xf numFmtId="166" fontId="1" fillId="12" borderId="42" xfId="0" applyNumberFormat="1" applyFont="1" applyFill="1" applyBorder="1" applyAlignment="1">
      <alignment horizontal="center" vertical="center" wrapText="1"/>
    </xf>
    <xf numFmtId="1" fontId="1" fillId="12" borderId="80" xfId="0" applyNumberFormat="1" applyFont="1" applyFill="1" applyBorder="1" applyAlignment="1">
      <alignment horizontal="center" vertical="center"/>
    </xf>
    <xf numFmtId="10" fontId="1" fillId="12" borderId="80" xfId="0" applyNumberFormat="1" applyFont="1" applyFill="1" applyBorder="1" applyAlignment="1">
      <alignment horizontal="center" vertical="center" wrapText="1"/>
    </xf>
    <xf numFmtId="10" fontId="1" fillId="12" borderId="42" xfId="0" applyNumberFormat="1" applyFont="1" applyFill="1" applyBorder="1" applyAlignment="1">
      <alignment horizontal="center" vertical="center" wrapText="1"/>
    </xf>
    <xf numFmtId="0" fontId="0" fillId="0" borderId="0" xfId="0" applyProtection="1">
      <protection hidden="1"/>
    </xf>
    <xf numFmtId="0" fontId="6" fillId="0" borderId="0" xfId="0" applyFont="1" applyAlignment="1" applyProtection="1">
      <alignment horizontal="center"/>
      <protection hidden="1"/>
    </xf>
    <xf numFmtId="0" fontId="23" fillId="0" borderId="0" xfId="2" applyAlignment="1">
      <alignment horizontal="center"/>
    </xf>
    <xf numFmtId="0" fontId="23" fillId="2" borderId="0" xfId="2" applyFill="1" applyAlignment="1">
      <alignment horizontal="center"/>
    </xf>
    <xf numFmtId="191" fontId="0" fillId="6" borderId="65" xfId="0" applyNumberFormat="1" applyFont="1" applyFill="1" applyBorder="1" applyAlignment="1">
      <alignment horizontal="center" vertical="center"/>
    </xf>
    <xf numFmtId="191" fontId="0" fillId="6" borderId="26" xfId="0" applyNumberFormat="1" applyFont="1" applyFill="1" applyBorder="1" applyAlignment="1">
      <alignment horizontal="center" vertical="center"/>
    </xf>
    <xf numFmtId="0" fontId="37" fillId="5" borderId="57" xfId="0" applyFont="1" applyFill="1" applyBorder="1" applyAlignment="1">
      <alignment horizontal="left" vertical="top" wrapText="1"/>
    </xf>
    <xf numFmtId="0" fontId="37" fillId="5" borderId="0" xfId="0" applyFont="1" applyFill="1" applyBorder="1" applyAlignment="1">
      <alignment horizontal="left" vertical="top" wrapText="1"/>
    </xf>
    <xf numFmtId="0" fontId="4" fillId="0" borderId="0" xfId="1" applyFill="1" applyAlignment="1" applyProtection="1">
      <alignment horizontal="center"/>
      <protection hidden="1"/>
    </xf>
  </cellXfs>
  <cellStyles count="5">
    <cellStyle name="Hyperlink" xfId="1" builtinId="8"/>
    <cellStyle name="Normal" xfId="0" builtinId="0"/>
    <cellStyle name="Normal 2" xfId="2" xr:uid="{00000000-0005-0000-0000-000002000000}"/>
    <cellStyle name="Normal 2 2" xfId="4" xr:uid="{00000000-0005-0000-0000-000002000000}"/>
    <cellStyle name="Percent" xfId="3" builtinId="5"/>
  </cellStyles>
  <dxfs count="102">
    <dxf>
      <font>
        <color rgb="FF9C0006"/>
      </font>
    </dxf>
    <dxf>
      <font>
        <color rgb="FF9C0006"/>
      </font>
      <fill>
        <patternFill>
          <bgColor rgb="FFFFC7CE"/>
        </patternFill>
      </fill>
    </dxf>
    <dxf>
      <font>
        <color rgb="FF9C0006"/>
      </font>
      <fill>
        <patternFill>
          <bgColor rgb="FFFFC7CE"/>
        </patternFill>
      </fill>
    </dxf>
    <dxf>
      <font>
        <color theme="1"/>
      </font>
      <fill>
        <patternFill>
          <bgColor theme="9" tint="0.39994506668294322"/>
        </patternFill>
      </fill>
    </dxf>
    <dxf>
      <font>
        <color rgb="FF9C0006"/>
      </font>
      <fill>
        <patternFill>
          <bgColor theme="0"/>
        </patternFill>
      </fill>
    </dxf>
    <dxf>
      <font>
        <color auto="1"/>
      </font>
      <fill>
        <patternFill>
          <bgColor theme="9" tint="0.39994506668294322"/>
        </patternFill>
      </fill>
    </dxf>
    <dxf>
      <font>
        <color rgb="FF9C0006"/>
      </font>
      <fill>
        <patternFill>
          <bgColor rgb="FFFFC7CE"/>
        </patternFill>
      </fill>
    </dxf>
    <dxf>
      <font>
        <color auto="1"/>
      </font>
      <fill>
        <patternFill>
          <bgColor rgb="FFFFFFCC"/>
        </patternFill>
      </fill>
      <border>
        <right style="thin">
          <color auto="1"/>
        </right>
      </border>
    </dxf>
    <dxf>
      <font>
        <color theme="0"/>
      </font>
      <fill>
        <patternFill>
          <bgColor rgb="FFFF0000"/>
        </patternFill>
      </fill>
    </dxf>
    <dxf>
      <fill>
        <patternFill>
          <bgColor theme="9" tint="0.39994506668294322"/>
        </patternFill>
      </fill>
    </dxf>
    <dxf>
      <fill>
        <patternFill>
          <bgColor theme="9" tint="0.39994506668294322"/>
        </patternFill>
      </fill>
    </dxf>
    <dxf>
      <fill>
        <patternFill>
          <bgColor theme="9" tint="0.39994506668294322"/>
        </patternFill>
      </fill>
    </dxf>
    <dxf>
      <font>
        <color rgb="FF9C0006"/>
      </font>
      <fill>
        <patternFill>
          <bgColor theme="9" tint="0.39994506668294322"/>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ill>
        <patternFill>
          <bgColor rgb="FFCCFFCC"/>
        </patternFill>
      </fill>
    </dxf>
    <dxf>
      <fill>
        <patternFill>
          <bgColor theme="9" tint="0.39994506668294322"/>
        </patternFill>
      </fill>
    </dxf>
    <dxf>
      <font>
        <b/>
        <i val="0"/>
        <color rgb="FFFFFFFF"/>
      </font>
      <fill>
        <patternFill>
          <bgColor rgb="FFFF0000"/>
        </patternFill>
      </fill>
    </dxf>
    <dxf>
      <font>
        <b/>
        <i val="0"/>
        <color rgb="FFFFFFFF"/>
      </font>
      <fill>
        <patternFill>
          <bgColor rgb="FFFF0000"/>
        </patternFill>
      </fill>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ill>
        <patternFill>
          <bgColor theme="0"/>
        </patternFill>
      </fill>
      <border>
        <right/>
      </border>
    </dxf>
    <dxf>
      <font>
        <b/>
        <i val="0"/>
        <color theme="0"/>
      </font>
      <fill>
        <patternFill>
          <bgColor rgb="FFFF0000"/>
        </patternFill>
      </fill>
    </dxf>
    <dxf>
      <font>
        <color auto="1"/>
      </font>
      <fill>
        <patternFill>
          <bgColor rgb="FFCCFFCC"/>
        </patternFill>
      </fill>
    </dxf>
    <dxf>
      <fill>
        <patternFill>
          <bgColor theme="9" tint="0.39994506668294322"/>
        </patternFill>
      </fill>
    </dxf>
    <dxf>
      <fill>
        <patternFill>
          <bgColor theme="0"/>
        </patternFill>
      </fill>
    </dxf>
    <dxf>
      <fill>
        <patternFill>
          <bgColor theme="0"/>
        </patternFill>
      </fill>
    </dxf>
    <dxf>
      <fill>
        <patternFill>
          <bgColor theme="0"/>
        </patternFill>
      </fill>
    </dxf>
    <dxf>
      <font>
        <color theme="0"/>
      </font>
      <fill>
        <patternFill>
          <bgColor rgb="FFFF0000"/>
        </patternFill>
      </fill>
    </dxf>
    <dxf>
      <font>
        <color theme="0"/>
      </font>
      <fill>
        <patternFill>
          <bgColor rgb="FFFF0000"/>
        </patternFill>
      </fill>
    </dxf>
    <dxf>
      <fill>
        <patternFill>
          <bgColor theme="0"/>
        </patternFill>
      </fill>
    </dxf>
    <dxf>
      <fill>
        <patternFill>
          <bgColor theme="0"/>
        </patternFill>
      </fill>
    </dxf>
    <dxf>
      <font>
        <color theme="0"/>
      </font>
      <fill>
        <patternFill>
          <bgColor rgb="FFFF0000"/>
        </patternFill>
      </fill>
    </dxf>
    <dxf>
      <fill>
        <patternFill>
          <bgColor theme="0"/>
        </patternFill>
      </fill>
    </dxf>
    <dxf>
      <font>
        <color theme="0"/>
      </font>
      <fill>
        <patternFill>
          <bgColor rgb="FFFF0000"/>
        </patternFill>
      </fill>
    </dxf>
    <dxf>
      <font>
        <color theme="0"/>
      </font>
      <fill>
        <patternFill>
          <bgColor rgb="FFFF0000"/>
        </patternFill>
      </fill>
    </dxf>
    <dxf>
      <fill>
        <patternFill>
          <bgColor theme="0"/>
        </patternFill>
      </fill>
    </dxf>
    <dxf>
      <font>
        <color theme="0"/>
      </font>
      <fill>
        <patternFill>
          <bgColor rgb="FFFF0000"/>
        </patternFill>
      </fill>
      <border>
        <right/>
        <vertical/>
        <horizontal/>
      </border>
    </dxf>
    <dxf>
      <fill>
        <patternFill>
          <bgColor theme="0"/>
        </patternFill>
      </fill>
      <border>
        <right/>
      </border>
    </dxf>
    <dxf>
      <fill>
        <patternFill>
          <bgColor theme="0"/>
        </patternFill>
      </fill>
    </dxf>
    <dxf>
      <protection locked="1" hidden="1"/>
    </dxf>
    <dxf>
      <protection locked="1" hidden="1"/>
    </dxf>
    <dxf>
      <protection locked="1" hidden="1"/>
    </dxf>
    <dxf>
      <protection locked="1" hidden="1"/>
    </dxf>
    <dxf>
      <protection locked="1" hidden="1"/>
    </dxf>
    <dxf>
      <protection locked="1" hidden="1"/>
    </dxf>
    <dxf>
      <border diagonalUp="0" diagonalDown="0">
        <left style="thin">
          <color indexed="64"/>
        </left>
        <right style="thin">
          <color indexed="64"/>
        </right>
        <top/>
        <bottom/>
        <vertical style="thin">
          <color indexed="64"/>
        </vertical>
        <horizontal style="thin">
          <color indexed="64"/>
        </horizontal>
      </border>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CC"/>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168" formatCode="0\ &quot;µA&quo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auto="1"/>
        </top>
        <bottom style="thin">
          <color auto="1"/>
        </bottom>
        <vertical/>
        <horizontal style="thin">
          <color auto="1"/>
        </horizontal>
      </border>
      <protection locked="1" hidden="1"/>
    </dxf>
    <dxf>
      <font>
        <b val="0"/>
        <i val="0"/>
        <strike val="0"/>
        <condense val="0"/>
        <extend val="0"/>
        <outline val="0"/>
        <shadow val="0"/>
        <u val="none"/>
        <vertAlign val="baseline"/>
        <sz val="11"/>
        <color theme="1"/>
        <name val="Calibri"/>
        <scheme val="none"/>
      </font>
      <numFmt numFmtId="171"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1"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1"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none"/>
      </font>
      <numFmt numFmtId="171" formatCode="#,##0\ &quot;Ω&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vertical/>
        <horizontal style="thin">
          <color auto="1"/>
        </horizontal>
      </border>
      <protection locked="1" hidden="1"/>
    </dxf>
    <dxf>
      <font>
        <b val="0"/>
        <i val="0"/>
        <strike val="0"/>
        <condense val="0"/>
        <extend val="0"/>
        <outline val="0"/>
        <shadow val="0"/>
        <u val="none"/>
        <vertAlign val="baseline"/>
        <sz val="11"/>
        <color theme="1"/>
        <name val="Calibri"/>
        <scheme val="none"/>
      </font>
      <numFmt numFmtId="174"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4"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family val="2"/>
        <scheme val="none"/>
      </font>
      <numFmt numFmtId="174"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vertical/>
        <horizontal/>
      </border>
      <protection locked="1" hidden="1"/>
    </dxf>
    <dxf>
      <font>
        <b val="0"/>
        <i val="0"/>
        <strike val="0"/>
        <condense val="0"/>
        <extend val="0"/>
        <outline val="0"/>
        <shadow val="0"/>
        <u val="none"/>
        <vertAlign val="baseline"/>
        <sz val="11"/>
        <color theme="1"/>
        <name val="Calibri"/>
        <scheme val="none"/>
      </font>
      <numFmt numFmtId="174" formatCode="#,##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7" formatCode="0.00\ &quot; µV/°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7" formatCode="0.00\ &quot; µV/°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6" formatCode="0.0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6" formatCode="0.00\ &quot;mV&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65" formatCode="0\ &quot;ppm/°C&quot;"/>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1"/>
    </dxf>
    <dxf>
      <font>
        <b val="0"/>
        <i val="0"/>
        <strike val="0"/>
        <condense val="0"/>
        <extend val="0"/>
        <outline val="0"/>
        <shadow val="0"/>
        <u val="none"/>
        <vertAlign val="baseline"/>
        <sz val="11"/>
        <color theme="1"/>
        <name val="Calibri"/>
        <scheme val="minor"/>
      </font>
      <numFmt numFmtId="14" formatCode="0.00%"/>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border>
      <protection locked="1" hidden="1"/>
    </dxf>
    <dxf>
      <numFmt numFmtId="30" formatCode="@"/>
      <fill>
        <patternFill patternType="solid">
          <fgColor indexed="64"/>
          <bgColor rgb="FFFFFFCC"/>
        </patternFill>
      </fill>
      <alignment horizontal="center" vertical="bottom" textRotation="0" wrapText="0" indent="0" justifyLastLine="0" shrinkToFit="0" readingOrder="0"/>
      <border diagonalUp="0" diagonalDown="0">
        <left/>
        <right/>
        <top style="thin">
          <color auto="1"/>
        </top>
        <bottom style="thin">
          <color auto="1"/>
        </bottom>
        <vertical/>
        <horizontal/>
      </border>
      <protection locked="1" hidden="1"/>
    </dxf>
    <dxf>
      <numFmt numFmtId="30" formatCode="@"/>
      <fill>
        <patternFill patternType="solid">
          <fgColor indexed="64"/>
          <bgColor rgb="FFFFFFCC"/>
        </patternFill>
      </fill>
      <alignment horizontal="center" vertical="bottom" textRotation="0" wrapText="0" indent="0" justifyLastLine="0" shrinkToFit="0" readingOrder="0"/>
      <border diagonalUp="0" diagonalDown="0">
        <left style="thin">
          <color indexed="64"/>
        </left>
        <right/>
        <top/>
        <bottom/>
        <vertical/>
        <horizontal/>
      </border>
      <protection locked="1" hidden="1"/>
    </dxf>
    <dxf>
      <alignment horizontal="left" vertical="bottom" textRotation="0" wrapText="0" indent="0" justifyLastLine="0" shrinkToFit="0" readingOrder="0"/>
      <border>
        <right style="thin">
          <color indexed="64"/>
        </right>
      </border>
      <protection locked="1" hidden="1"/>
    </dxf>
    <dxf>
      <border outline="0">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CC"/>
        </patternFill>
      </fill>
      <alignment horizontal="center" vertical="bottom" textRotation="0" wrapText="0" indent="0" justifyLastLine="0" shrinkToFit="0" readingOrder="0"/>
      <protection locked="1" hidden="1"/>
    </dxf>
    <dxf>
      <border>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right/>
        <top/>
        <bottom/>
        <vertical/>
        <horizontal/>
      </border>
      <protection locked="1" hidden="1"/>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0" formatCode="General"/>
      <fill>
        <patternFill patternType="solid">
          <fgColor indexed="64"/>
          <bgColor rgb="FFF7F7F7"/>
        </patternFill>
      </fill>
      <alignment horizontal="center" vertical="center" textRotation="0" wrapText="1" indent="0" justifyLastLine="0" shrinkToFit="0" readingOrder="0"/>
    </dxf>
    <dxf>
      <font>
        <b val="0"/>
        <i val="0"/>
        <strike val="0"/>
        <condense val="0"/>
        <extend val="0"/>
        <outline val="0"/>
        <shadow val="0"/>
        <u val="none"/>
        <vertAlign val="baseline"/>
        <sz val="14"/>
        <color rgb="FF464646"/>
        <name val="Arial"/>
        <scheme val="none"/>
      </font>
      <numFmt numFmtId="1" formatCode="0"/>
      <fill>
        <patternFill patternType="solid">
          <fgColor indexed="64"/>
          <bgColor rgb="FFF7F7F7"/>
        </patternFill>
      </fill>
      <alignment horizontal="center" vertical="center" textRotation="0" wrapText="1" indent="0" justifyLastLine="0" shrinkToFit="0" readingOrder="0"/>
      <border diagonalUp="0" diagonalDown="0">
        <left/>
        <right style="medium">
          <color rgb="FFC0C0C9"/>
        </right>
        <top/>
        <bottom/>
        <vertical/>
        <horizontal/>
      </border>
    </dxf>
    <dxf>
      <font>
        <b val="0"/>
        <i val="0"/>
        <strike val="0"/>
        <condense val="0"/>
        <extend val="0"/>
        <outline val="0"/>
        <shadow val="0"/>
        <u val="none"/>
        <vertAlign val="baseline"/>
        <sz val="14"/>
        <color rgb="FF464646"/>
        <name val="Arial"/>
        <scheme val="none"/>
      </font>
      <fill>
        <patternFill patternType="solid">
          <fgColor indexed="64"/>
          <bgColor rgb="FFF7F7F7"/>
        </patternFill>
      </fill>
      <alignment horizontal="center" vertical="center" textRotation="0" wrapText="1" indent="0" justifyLastLine="0" shrinkToFit="0" readingOrder="0"/>
      <border diagonalUp="0" diagonalDown="0">
        <left/>
        <right style="medium">
          <color rgb="FFC0C0C9"/>
        </right>
        <top/>
        <bottom/>
        <vertical/>
        <horizontal/>
      </border>
    </dxf>
    <dxf>
      <border outline="0">
        <bottom style="medium">
          <color rgb="FFC0C0C9"/>
        </bottom>
      </border>
    </dxf>
    <dxf>
      <font>
        <b val="0"/>
        <i val="0"/>
        <strike val="0"/>
        <condense val="0"/>
        <extend val="0"/>
        <outline val="0"/>
        <shadow val="0"/>
        <u val="none"/>
        <vertAlign val="baseline"/>
        <sz val="14"/>
        <color rgb="FF464646"/>
        <name val="Arial"/>
        <scheme val="none"/>
      </font>
      <fill>
        <patternFill patternType="solid">
          <fgColor indexed="64"/>
          <bgColor rgb="FFF7F7F7"/>
        </patternFill>
      </fill>
      <alignment horizontal="center" vertical="center" textRotation="0" wrapText="1" indent="0" justifyLastLine="0" shrinkToFit="0" readingOrder="0"/>
    </dxf>
  </dxfs>
  <tableStyles count="0" defaultTableStyle="TableStyleMedium2" defaultPivotStyle="PivotStyleMedium9"/>
  <colors>
    <mruColors>
      <color rgb="FFFFFFCC"/>
      <color rgb="FFFFFF99"/>
      <color rgb="FFCCFFCC"/>
      <color rgb="FFFFFFFF"/>
      <color rgb="FFBDEEFF"/>
      <color rgb="FF89E0FF"/>
      <color rgb="FF89E1FF"/>
      <color rgb="FFDE0000"/>
      <color rgb="FF4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e2e.ti.com/" TargetMode="External"/><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drawing4.xml.rels><?xml version="1.0" encoding="UTF-8" standalone="yes"?>
<Relationships xmlns="http://schemas.openxmlformats.org/package/2006/relationships"><Relationship Id="rId8" Type="http://schemas.openxmlformats.org/officeDocument/2006/relationships/customXml" Target="../ink/ink3.xml"/><Relationship Id="rId13" Type="http://schemas.openxmlformats.org/officeDocument/2006/relationships/image" Target="../media/image7.png"/><Relationship Id="rId3" Type="http://schemas.openxmlformats.org/officeDocument/2006/relationships/image" Target="../media/image2.emf"/><Relationship Id="rId7" Type="http://schemas.openxmlformats.org/officeDocument/2006/relationships/image" Target="../media/image4.png"/><Relationship Id="rId2" Type="http://schemas.openxmlformats.org/officeDocument/2006/relationships/image" Target="../media/image1.gif"/><Relationship Id="rId1" Type="http://schemas.openxmlformats.org/officeDocument/2006/relationships/hyperlink" Target="http://www.ti.com" TargetMode="External"/><Relationship Id="rId6" Type="http://schemas.openxmlformats.org/officeDocument/2006/relationships/customXml" Target="../ink/ink2.xml"/><Relationship Id="rId5" Type="http://schemas.openxmlformats.org/officeDocument/2006/relationships/image" Target="../media/image3.png"/><Relationship Id="rId4" Type="http://schemas.openxmlformats.org/officeDocument/2006/relationships/customXml" Target="../ink/ink1.xml"/><Relationship Id="rId14"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1.gif"/><Relationship Id="rId1" Type="http://schemas.openxmlformats.org/officeDocument/2006/relationships/hyperlink" Target="http://www.ti.com" TargetMode="External"/><Relationship Id="rId4" Type="http://schemas.openxmlformats.org/officeDocument/2006/relationships/image" Target="../media/image8.jpeg"/></Relationships>
</file>

<file path=xl/drawings/_rels/drawing6.xml.rels><?xml version="1.0" encoding="UTF-8" standalone="yes"?>
<Relationships xmlns="http://schemas.openxmlformats.org/package/2006/relationships"><Relationship Id="rId3" Type="http://schemas.openxmlformats.org/officeDocument/2006/relationships/hyperlink" Target="http://e2e.ti.com/" TargetMode="External"/><Relationship Id="rId2" Type="http://schemas.openxmlformats.org/officeDocument/2006/relationships/image" Target="../media/image1.gif"/><Relationship Id="rId1" Type="http://schemas.openxmlformats.org/officeDocument/2006/relationships/hyperlink" Target="http://www.ti.com"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3</xdr:col>
      <xdr:colOff>463550</xdr:colOff>
      <xdr:row>2</xdr:row>
      <xdr:rowOff>69801</xdr:rowOff>
    </xdr:to>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14575" cy="295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638175</xdr:colOff>
      <xdr:row>0</xdr:row>
      <xdr:rowOff>133350</xdr:rowOff>
    </xdr:from>
    <xdr:ext cx="9070974" cy="342786"/>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349999" y="133350"/>
          <a:ext cx="907097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600" b="1">
              <a:latin typeface="+mn-lt"/>
            </a:rPr>
            <a:t>Isolated Amplifier Current</a:t>
          </a:r>
          <a:r>
            <a:rPr lang="en-US" sz="1600" b="1" baseline="0">
              <a:latin typeface="+mn-lt"/>
            </a:rPr>
            <a:t> Sensing Calculator: </a:t>
          </a:r>
          <a:r>
            <a:rPr lang="en-US" sz="1600" b="1">
              <a:latin typeface="+mn-lt"/>
            </a:rPr>
            <a:t>Table of Contents</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85725</xdr:colOff>
      <xdr:row>0</xdr:row>
      <xdr:rowOff>152400</xdr:rowOff>
    </xdr:from>
    <xdr:ext cx="2314575" cy="295226"/>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14575" cy="29522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558800</xdr:colOff>
      <xdr:row>0</xdr:row>
      <xdr:rowOff>82550</xdr:rowOff>
    </xdr:from>
    <xdr:ext cx="3752850" cy="342786"/>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5881594" y="82550"/>
          <a:ext cx="37528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How to use this tool...</a:t>
          </a:r>
        </a:p>
      </xdr:txBody>
    </xdr:sp>
    <xdr:clientData/>
  </xdr:oneCellAnchor>
  <xdr:oneCellAnchor>
    <xdr:from>
      <xdr:col>0</xdr:col>
      <xdr:colOff>47625</xdr:colOff>
      <xdr:row>5</xdr:row>
      <xdr:rowOff>76200</xdr:rowOff>
    </xdr:from>
    <xdr:ext cx="184731" cy="264560"/>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100-000004000000}"/>
            </a:ext>
          </a:extLst>
        </xdr:cNvPr>
        <xdr:cNvSpPr txBox="1"/>
      </xdr:nvSpPr>
      <xdr:spPr>
        <a:xfrm>
          <a:off x="47625" y="102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3</xdr:col>
      <xdr:colOff>463550</xdr:colOff>
      <xdr:row>2</xdr:row>
      <xdr:rowOff>69801</xdr:rowOff>
    </xdr:to>
    <xdr:pic>
      <xdr:nvPicPr>
        <xdr:cNvPr id="2" name="Picture 1" descr="ti logo">
          <a:hlinkClick xmlns:r="http://schemas.openxmlformats.org/officeDocument/2006/relationships" r:id="rId1"/>
          <a:extLst>
            <a:ext uri="{FF2B5EF4-FFF2-40B4-BE49-F238E27FC236}">
              <a16:creationId xmlns:a16="http://schemas.microsoft.com/office/drawing/2014/main" id="{35DDDF96-D96F-4F3D-A3E0-CFCB633E1A3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49500" cy="295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638175</xdr:colOff>
      <xdr:row>0</xdr:row>
      <xdr:rowOff>133350</xdr:rowOff>
    </xdr:from>
    <xdr:ext cx="9070974" cy="342786"/>
    <xdr:sp macro="" textlink="">
      <xdr:nvSpPr>
        <xdr:cNvPr id="3" name="TextBox 2">
          <a:extLst>
            <a:ext uri="{FF2B5EF4-FFF2-40B4-BE49-F238E27FC236}">
              <a16:creationId xmlns:a16="http://schemas.microsoft.com/office/drawing/2014/main" id="{D27698FB-0A44-49B7-BBEF-4DB26E6BED67}"/>
            </a:ext>
          </a:extLst>
        </xdr:cNvPr>
        <xdr:cNvSpPr txBox="1"/>
      </xdr:nvSpPr>
      <xdr:spPr>
        <a:xfrm>
          <a:off x="3531394" y="133350"/>
          <a:ext cx="907097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600" b="1">
              <a:latin typeface="+mn-lt"/>
            </a:rPr>
            <a:t>Isolated Amplifier Current</a:t>
          </a:r>
          <a:r>
            <a:rPr lang="en-US" sz="1600" b="1" baseline="0">
              <a:latin typeface="+mn-lt"/>
            </a:rPr>
            <a:t> Sensing Calculator: Directions</a:t>
          </a:r>
          <a:endParaRPr lang="en-US" sz="1600" b="1">
            <a:latin typeface="+mn-l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1873250</xdr:colOff>
      <xdr:row>0</xdr:row>
      <xdr:rowOff>73025</xdr:rowOff>
    </xdr:from>
    <xdr:ext cx="8763000" cy="468013"/>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054225" y="73025"/>
          <a:ext cx="8763000"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2400" b="1">
              <a:latin typeface="+mn-lt"/>
            </a:rPr>
            <a:t>Isolated Amplifier Current Sensing Calculator</a:t>
          </a:r>
        </a:p>
      </xdr:txBody>
    </xdr:sp>
    <xdr:clientData/>
  </xdr:oneCellAnchor>
  <xdr:twoCellAnchor editAs="oneCell">
    <xdr:from>
      <xdr:col>0</xdr:col>
      <xdr:colOff>95250</xdr:colOff>
      <xdr:row>0</xdr:row>
      <xdr:rowOff>133350</xdr:rowOff>
    </xdr:from>
    <xdr:to>
      <xdr:col>2</xdr:col>
      <xdr:colOff>811695</xdr:colOff>
      <xdr:row>2</xdr:row>
      <xdr:rowOff>74563</xdr:rowOff>
    </xdr:to>
    <xdr:pic>
      <xdr:nvPicPr>
        <xdr:cNvPr id="9" name="Picture 8" descr="ti logo">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133350"/>
          <a:ext cx="2324100" cy="314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30160</xdr:colOff>
          <xdr:row>5</xdr:row>
          <xdr:rowOff>49867</xdr:rowOff>
        </xdr:from>
        <xdr:to>
          <xdr:col>4</xdr:col>
          <xdr:colOff>1050061</xdr:colOff>
          <xdr:row>20</xdr:row>
          <xdr:rowOff>135660</xdr:rowOff>
        </xdr:to>
        <xdr:pic>
          <xdr:nvPicPr>
            <xdr:cNvPr id="12" name="Picture 11">
              <a:extLst>
                <a:ext uri="{FF2B5EF4-FFF2-40B4-BE49-F238E27FC236}">
                  <a16:creationId xmlns:a16="http://schemas.microsoft.com/office/drawing/2014/main" id="{00000000-0008-0000-0200-00000C000000}"/>
                </a:ext>
              </a:extLst>
            </xdr:cNvPr>
            <xdr:cNvPicPr>
              <a:picLocks noChangeAspect="1"/>
              <a:extLst>
                <a:ext uri="{84589F7E-364E-4C9E-8A38-B11213B215E9}">
                  <a14:cameraTool cellRange="Picture" spid="_x0000_s15901"/>
                </a:ext>
              </a:extLst>
            </xdr:cNvPicPr>
          </xdr:nvPicPr>
          <xdr:blipFill rotWithShape="1">
            <a:blip xmlns:r="http://schemas.openxmlformats.org/officeDocument/2006/relationships" r:embed="rId3"/>
            <a:srcRect l="22447" t="32060" r="8894" b="1532"/>
            <a:stretch>
              <a:fillRect/>
            </a:stretch>
          </xdr:blipFill>
          <xdr:spPr>
            <a:xfrm>
              <a:off x="211135" y="1002367"/>
              <a:ext cx="5210901" cy="2995681"/>
            </a:xfrm>
            <a:prstGeom prst="rect">
              <a:avLst/>
            </a:prstGeom>
            <a:ln w="12700">
              <a:solidFill>
                <a:srgbClr val="FF0000"/>
              </a:solidFill>
            </a:ln>
          </xdr:spPr>
        </xdr:pic>
        <xdr:clientData/>
      </xdr:twoCellAnchor>
    </mc:Choice>
    <mc:Fallback/>
  </mc:AlternateContent>
  <xdr:twoCellAnchor>
    <xdr:from>
      <xdr:col>2</xdr:col>
      <xdr:colOff>135005</xdr:colOff>
      <xdr:row>48</xdr:row>
      <xdr:rowOff>79969</xdr:rowOff>
    </xdr:from>
    <xdr:to>
      <xdr:col>2</xdr:col>
      <xdr:colOff>137525</xdr:colOff>
      <xdr:row>48</xdr:row>
      <xdr:rowOff>80329</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5" name="Ink 4">
              <a:extLst>
                <a:ext uri="{FF2B5EF4-FFF2-40B4-BE49-F238E27FC236}">
                  <a16:creationId xmlns:a16="http://schemas.microsoft.com/office/drawing/2014/main" id="{298F6D8C-06FE-4004-B60C-0204107851EE}"/>
                </a:ext>
              </a:extLst>
            </xdr14:cNvPr>
            <xdr14:cNvContentPartPr/>
          </xdr14:nvContentPartPr>
          <xdr14:nvPr macro=""/>
          <xdr14:xfrm>
            <a:off x="1413360" y="9604969"/>
            <a:ext cx="2520" cy="360"/>
          </xdr14:xfrm>
        </xdr:contentPart>
      </mc:Choice>
      <mc:Fallback xmlns="">
        <xdr:pic>
          <xdr:nvPicPr>
            <xdr:cNvPr id="5" name="Ink 4">
              <a:extLst>
                <a:ext uri="{FF2B5EF4-FFF2-40B4-BE49-F238E27FC236}">
                  <a16:creationId xmlns:a16="http://schemas.microsoft.com/office/drawing/2014/main" id="{298F6D8C-06FE-4004-B60C-0204107851EE}"/>
                </a:ext>
              </a:extLst>
            </xdr:cNvPr>
            <xdr:cNvPicPr/>
          </xdr:nvPicPr>
          <xdr:blipFill>
            <a:blip xmlns:r="http://schemas.openxmlformats.org/officeDocument/2006/relationships" r:embed="rId5"/>
            <a:stretch>
              <a:fillRect/>
            </a:stretch>
          </xdr:blipFill>
          <xdr:spPr>
            <a:xfrm>
              <a:off x="1395360" y="9586969"/>
              <a:ext cx="38160" cy="36000"/>
            </a:xfrm>
            <a:prstGeom prst="rect">
              <a:avLst/>
            </a:prstGeom>
          </xdr:spPr>
        </xdr:pic>
      </mc:Fallback>
    </mc:AlternateContent>
    <xdr:clientData/>
  </xdr:twoCellAnchor>
  <xdr:twoCellAnchor>
    <xdr:from>
      <xdr:col>2</xdr:col>
      <xdr:colOff>1348205</xdr:colOff>
      <xdr:row>49</xdr:row>
      <xdr:rowOff>34909</xdr:rowOff>
    </xdr:from>
    <xdr:to>
      <xdr:col>2</xdr:col>
      <xdr:colOff>1348565</xdr:colOff>
      <xdr:row>49</xdr:row>
      <xdr:rowOff>35269</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11" name="Ink 10">
              <a:extLst>
                <a:ext uri="{FF2B5EF4-FFF2-40B4-BE49-F238E27FC236}">
                  <a16:creationId xmlns:a16="http://schemas.microsoft.com/office/drawing/2014/main" id="{BEDC25D1-24E7-430F-89D8-E20985147953}"/>
                </a:ext>
              </a:extLst>
            </xdr14:cNvPr>
            <xdr14:cNvContentPartPr/>
          </xdr14:nvContentPartPr>
          <xdr14:nvPr macro=""/>
          <xdr14:xfrm>
            <a:off x="2626560" y="9750409"/>
            <a:ext cx="360" cy="360"/>
          </xdr14:xfrm>
        </xdr:contentPart>
      </mc:Choice>
      <mc:Fallback xmlns="">
        <xdr:pic>
          <xdr:nvPicPr>
            <xdr:cNvPr id="11" name="Ink 10">
              <a:extLst>
                <a:ext uri="{FF2B5EF4-FFF2-40B4-BE49-F238E27FC236}">
                  <a16:creationId xmlns:a16="http://schemas.microsoft.com/office/drawing/2014/main" id="{BEDC25D1-24E7-430F-89D8-E20985147953}"/>
                </a:ext>
              </a:extLst>
            </xdr:cNvPr>
            <xdr:cNvPicPr/>
          </xdr:nvPicPr>
          <xdr:blipFill>
            <a:blip xmlns:r="http://schemas.openxmlformats.org/officeDocument/2006/relationships" r:embed="rId7"/>
            <a:stretch>
              <a:fillRect/>
            </a:stretch>
          </xdr:blipFill>
          <xdr:spPr>
            <a:xfrm>
              <a:off x="2608920" y="9732769"/>
              <a:ext cx="36000" cy="36000"/>
            </a:xfrm>
            <a:prstGeom prst="rect">
              <a:avLst/>
            </a:prstGeom>
          </xdr:spPr>
        </xdr:pic>
      </mc:Fallback>
    </mc:AlternateContent>
    <xdr:clientData/>
  </xdr:twoCellAnchor>
  <xdr:twoCellAnchor>
    <xdr:from>
      <xdr:col>2</xdr:col>
      <xdr:colOff>846725</xdr:colOff>
      <xdr:row>9</xdr:row>
      <xdr:rowOff>145061</xdr:rowOff>
    </xdr:from>
    <xdr:to>
      <xdr:col>2</xdr:col>
      <xdr:colOff>879125</xdr:colOff>
      <xdr:row>9</xdr:row>
      <xdr:rowOff>152621</xdr:rowOff>
    </xdr:to>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18" name="Ink 17">
              <a:extLst>
                <a:ext uri="{FF2B5EF4-FFF2-40B4-BE49-F238E27FC236}">
                  <a16:creationId xmlns:a16="http://schemas.microsoft.com/office/drawing/2014/main" id="{CE678DC7-12B8-4E84-A8AA-B116BA4512F5}"/>
                </a:ext>
              </a:extLst>
            </xdr14:cNvPr>
            <xdr14:cNvContentPartPr/>
          </xdr14:nvContentPartPr>
          <xdr14:nvPr macro=""/>
          <xdr14:xfrm>
            <a:off x="2125080" y="1889640"/>
            <a:ext cx="32400" cy="7560"/>
          </xdr14:xfrm>
        </xdr:contentPart>
      </mc:Choice>
      <mc:Fallback xmlns="">
        <xdr:pic>
          <xdr:nvPicPr>
            <xdr:cNvPr id="18" name="Ink 17">
              <a:extLst>
                <a:ext uri="{FF2B5EF4-FFF2-40B4-BE49-F238E27FC236}">
                  <a16:creationId xmlns:a16="http://schemas.microsoft.com/office/drawing/2014/main" id="{CE678DC7-12B8-4E84-A8AA-B116BA4512F5}"/>
                </a:ext>
              </a:extLst>
            </xdr:cNvPr>
            <xdr:cNvPicPr/>
          </xdr:nvPicPr>
          <xdr:blipFill>
            <a:blip xmlns:r="http://schemas.openxmlformats.org/officeDocument/2006/relationships" r:embed="rId13"/>
            <a:stretch>
              <a:fillRect/>
            </a:stretch>
          </xdr:blipFill>
          <xdr:spPr>
            <a:xfrm>
              <a:off x="2107440" y="1872000"/>
              <a:ext cx="68040" cy="43200"/>
            </a:xfrm>
            <a:prstGeom prst="rect">
              <a:avLst/>
            </a:prstGeom>
          </xdr:spPr>
        </xdr:pic>
      </mc:Fallback>
    </mc:AlternateContent>
    <xdr:clientData/>
  </xdr:twoCellAnchor>
  <xdr:twoCellAnchor editAs="oneCell">
    <xdr:from>
      <xdr:col>1</xdr:col>
      <xdr:colOff>0</xdr:colOff>
      <xdr:row>47</xdr:row>
      <xdr:rowOff>7046</xdr:rowOff>
    </xdr:from>
    <xdr:to>
      <xdr:col>8</xdr:col>
      <xdr:colOff>848471</xdr:colOff>
      <xdr:row>64</xdr:row>
      <xdr:rowOff>67355</xdr:rowOff>
    </xdr:to>
    <xdr:pic>
      <xdr:nvPicPr>
        <xdr:cNvPr id="4" name="Picture 3">
          <a:extLst>
            <a:ext uri="{FF2B5EF4-FFF2-40B4-BE49-F238E27FC236}">
              <a16:creationId xmlns:a16="http://schemas.microsoft.com/office/drawing/2014/main" id="{AD133EB6-6ECC-4756-86C1-B2A3B9D5FF3F}"/>
            </a:ext>
          </a:extLst>
        </xdr:cNvPr>
        <xdr:cNvPicPr>
          <a:picLocks noChangeAspect="1"/>
        </xdr:cNvPicPr>
      </xdr:nvPicPr>
      <xdr:blipFill rotWithShape="1">
        <a:blip xmlns:r="http://schemas.openxmlformats.org/officeDocument/2006/relationships" r:embed="rId14"/>
        <a:srcRect l="-12805" t="749" r="-12614" b="2348"/>
        <a:stretch/>
      </xdr:blipFill>
      <xdr:spPr>
        <a:xfrm>
          <a:off x="179294" y="8904517"/>
          <a:ext cx="8221942" cy="2906603"/>
        </a:xfrm>
        <a:prstGeom prst="rect">
          <a:avLst/>
        </a:prstGeom>
        <a:ln>
          <a:solidFill>
            <a:srgbClr val="FF0000"/>
          </a:solid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4</xdr:col>
      <xdr:colOff>438150</xdr:colOff>
      <xdr:row>0</xdr:row>
      <xdr:rowOff>82550</xdr:rowOff>
    </xdr:from>
    <xdr:ext cx="8763000" cy="342786"/>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273238" y="82550"/>
          <a:ext cx="87630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Device Comparison</a:t>
          </a:r>
        </a:p>
      </xdr:txBody>
    </xdr:sp>
    <xdr:clientData/>
  </xdr:oneCellAnchor>
  <xdr:twoCellAnchor editAs="oneCell">
    <xdr:from>
      <xdr:col>0</xdr:col>
      <xdr:colOff>95250</xdr:colOff>
      <xdr:row>0</xdr:row>
      <xdr:rowOff>142875</xdr:rowOff>
    </xdr:from>
    <xdr:to>
      <xdr:col>1</xdr:col>
      <xdr:colOff>859584</xdr:colOff>
      <xdr:row>2</xdr:row>
      <xdr:rowOff>76151</xdr:rowOff>
    </xdr:to>
    <xdr:pic>
      <xdr:nvPicPr>
        <xdr:cNvPr id="5" name="Picture 4" descr="ti logo">
          <a:hlinkClick xmlns:r="http://schemas.openxmlformats.org/officeDocument/2006/relationships" r:id="rId1"/>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142875"/>
          <a:ext cx="2324100" cy="314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1681308</xdr:colOff>
      <xdr:row>280</xdr:row>
      <xdr:rowOff>1171863</xdr:rowOff>
    </xdr:from>
    <xdr:to>
      <xdr:col>79</xdr:col>
      <xdr:colOff>6774008</xdr:colOff>
      <xdr:row>280</xdr:row>
      <xdr:rowOff>3678525</xdr:rowOff>
    </xdr:to>
    <xdr:pic>
      <xdr:nvPicPr>
        <xdr:cNvPr id="6" name="Picture 5" descr="C:\Users\A0509484\AppData\Local\Packages\Microsoft.Windows.Photos_8wekyb3d8bbwe\TempState\ShareServiceTempFolder\Dif.jpeg">
          <a:extLst>
            <a:ext uri="{FF2B5EF4-FFF2-40B4-BE49-F238E27FC236}">
              <a16:creationId xmlns:a16="http://schemas.microsoft.com/office/drawing/2014/main" id="{EA55D6DB-BA3F-425F-803C-F24112D015B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414672" y="43203090"/>
          <a:ext cx="5086350" cy="250190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1674959</xdr:colOff>
      <xdr:row>281</xdr:row>
      <xdr:rowOff>1213716</xdr:rowOff>
    </xdr:from>
    <xdr:to>
      <xdr:col>79</xdr:col>
      <xdr:colOff>6770834</xdr:colOff>
      <xdr:row>281</xdr:row>
      <xdr:rowOff>3619212</xdr:rowOff>
    </xdr:to>
    <xdr:pic>
      <xdr:nvPicPr>
        <xdr:cNvPr id="7" name="Picture 6" descr="C:\Users\A0509484\AppData\Local\Packages\Microsoft.Windows.Photos_8wekyb3d8bbwe\TempState\ShareServiceTempFolder\se.jpeg">
          <a:extLst>
            <a:ext uri="{FF2B5EF4-FFF2-40B4-BE49-F238E27FC236}">
              <a16:creationId xmlns:a16="http://schemas.microsoft.com/office/drawing/2014/main" id="{11848B23-E3DF-490F-AAE2-1597F05F163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0408323" y="46968352"/>
          <a:ext cx="5095875" cy="240549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79</xdr:col>
      <xdr:colOff>1769630</xdr:colOff>
      <xdr:row>279</xdr:row>
      <xdr:rowOff>1220643</xdr:rowOff>
    </xdr:from>
    <xdr:to>
      <xdr:col>79</xdr:col>
      <xdr:colOff>6875538</xdr:colOff>
      <xdr:row>279</xdr:row>
      <xdr:rowOff>3722924</xdr:rowOff>
    </xdr:to>
    <xdr:sp macro="" textlink="">
      <xdr:nvSpPr>
        <xdr:cNvPr id="10" name="Rectangle 9">
          <a:extLst>
            <a:ext uri="{FF2B5EF4-FFF2-40B4-BE49-F238E27FC236}">
              <a16:creationId xmlns:a16="http://schemas.microsoft.com/office/drawing/2014/main" id="{5B628C31-C297-47A9-9501-1250F983C3E5}"/>
            </a:ext>
          </a:extLst>
        </xdr:cNvPr>
        <xdr:cNvSpPr/>
      </xdr:nvSpPr>
      <xdr:spPr>
        <a:xfrm>
          <a:off x="50502994" y="39528461"/>
          <a:ext cx="5105908" cy="250228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Please Select a Configuration in the </a:t>
          </a:r>
          <a:r>
            <a:rPr lang="en-US" sz="2400" b="1">
              <a:solidFill>
                <a:sysClr val="windowText" lastClr="000000"/>
              </a:solidFill>
            </a:rPr>
            <a:t>User Inputs </a:t>
          </a:r>
          <a:r>
            <a:rPr lang="en-US" sz="2400">
              <a:solidFill>
                <a:sysClr val="windowText" lastClr="000000"/>
              </a:solidFill>
            </a:rPr>
            <a:t>Before Proceeding</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152400</xdr:rowOff>
    </xdr:from>
    <xdr:to>
      <xdr:col>4</xdr:col>
      <xdr:colOff>215900</xdr:colOff>
      <xdr:row>2</xdr:row>
      <xdr:rowOff>126951</xdr:rowOff>
    </xdr:to>
    <xdr:pic>
      <xdr:nvPicPr>
        <xdr:cNvPr id="2" name="Picture 1" descr="ti logo">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52400"/>
          <a:ext cx="2373630" cy="291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558800</xdr:colOff>
      <xdr:row>0</xdr:row>
      <xdr:rowOff>82550</xdr:rowOff>
    </xdr:from>
    <xdr:ext cx="3752850" cy="342786"/>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111625" y="82550"/>
          <a:ext cx="37528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600" b="1">
              <a:latin typeface="+mn-lt"/>
            </a:rPr>
            <a:t>How to use this tool...</a:t>
          </a:r>
        </a:p>
      </xdr:txBody>
    </xdr:sp>
    <xdr:clientData/>
  </xdr:oneCellAnchor>
  <xdr:oneCellAnchor>
    <xdr:from>
      <xdr:col>0</xdr:col>
      <xdr:colOff>47625</xdr:colOff>
      <xdr:row>5</xdr:row>
      <xdr:rowOff>76200</xdr:rowOff>
    </xdr:from>
    <xdr:ext cx="184731" cy="264560"/>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400-000004000000}"/>
            </a:ext>
          </a:extLst>
        </xdr:cNvPr>
        <xdr:cNvSpPr txBox="1"/>
      </xdr:nvSpPr>
      <xdr:spPr>
        <a:xfrm>
          <a:off x="47625" y="899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5</xdr:row>
      <xdr:rowOff>161925</xdr:rowOff>
    </xdr:from>
    <xdr:to>
      <xdr:col>17</xdr:col>
      <xdr:colOff>1076324</xdr:colOff>
      <xdr:row>43</xdr:row>
      <xdr:rowOff>171451</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133350" y="984885"/>
          <a:ext cx="11306174" cy="70656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TEXAS INSTRUMENTS TEXT FILE LICENSE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Copyright (c) 2021 Texas Instruments Incorporated</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All rights reserved not granted herein.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Limited License.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Texas Instruments Incorporated grants a world-wide, royalty-free, non-exclusive license under copyrights and patents it now or hereafter owns or controls to make, have made, use, import, offer to sell and sell ("Utilize") this software subject to the terms herein.  With respect to the foregoing patent license, such license is granted  solely to the extent that any such patent is necessary to Utilize the software alone.  The patent license shall not apply to any combinations which include this software, other than combinations with devices manufactured by or for TI (“TI Devices”).  No hardware patent is licensed hereunder.</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Redistributions must preserve existing copyright notices and reproduce this license (including the above copyright notice and the disclaimer and (if applicable) source code license limitations below) in the documentation and/or other materials provided with the distribution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Redistribution and use in binary form, without modification, are permitted provided that the following conditions are met:</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No reverse engineering, decompilation, or disassembly of this software is permitted with respect to any software provided in binary form.</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Nothing shall obligate TI to provide you with source code for the software licensed and provided to you in object code.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If software source code is provided to you, modification and redistribution of the source code are permitted provided that the following conditions are met:</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of the source code, including any resulting derivative works,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any redistribution and use of any object code compiled from the source code and any resulting derivative works, are licensed by TI for use only with TI Devices.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Neither the name of Texas Instruments Incorporated nor the names of its suppliers may be used to endorse or promote products derived from this software without specific prior written permission.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DISCLAIMER.</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THIS SOFTWARE IS PROVIDED BY TI AND TI’S LICENSORS "AS IS" AND ANY EXPRESS OR IMPLIED WARRANTIES, INCLUDING, BUT NOT LIMITED TO, THE IMPLIED WARRANTIES OF MERCHANTABILITY AND FITNESS FOR A PARTICULAR PURPOSE ARE DISCLAIMED. IN NO EVENT SHALL TI AND TI’S LICENSORS BE LIABLE FOR ANY DIRECT, INDIRECT, INCIDENTAL, SPECIAL, EXEMPLARY, OR CONSEQUENTIAL DAMAGES (INCLUDING, BUT NOT LIMITED TO, PROCUREMENT OF SUBSTITUTE GOODS OR SERVICES; LOSS OF USE, DATA, OR PROFITS; OR BUSINESS INTERRUPTION) HOWEVER CAUSED AND ON ANY THEORY OF LIABILITY, WHETHER IN CONTRACT, STRICT LIABILITY, OR TORT (INCLUDING NEGLIGENCE OR OTHERWISE) ARISING IN ANY WAY OUT OF THE USE OF THIS SOFTWARE, EVEN IF ADVISED OF THE POSSIBILITY OF SUCH DAMAGE.</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0227282/Desktop/Excel%20Calcs/AMC%20Voltage%20Sensing%20CalculatorV2/AMC%20Voltage%20Sensing%20Calculator/DeltaSigmaModulatorCalculator/DeltaSigmaModulatorFilterCalculat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0221409/Desktop/ADS1261-60%20Design%20Calculato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0227282/AppData/Local/Microsoft/Windows/INetCache/Content.Outlook/F78ED5SB/ADS1261-60%20Design%20Calculat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Help"/>
      <sheetName val="License"/>
    </sheetNames>
    <sheetDataSet>
      <sheetData sheetId="0">
        <row r="8">
          <cell r="D8">
            <v>20000</v>
          </cell>
        </row>
        <row r="9">
          <cell r="D9">
            <v>256</v>
          </cell>
        </row>
        <row r="11">
          <cell r="D11">
            <v>32</v>
          </cell>
        </row>
        <row r="81">
          <cell r="R81">
            <v>1</v>
          </cell>
        </row>
        <row r="82">
          <cell r="R82">
            <v>256</v>
          </cell>
          <cell r="U82">
            <v>32</v>
          </cell>
        </row>
        <row r="83">
          <cell r="R83">
            <v>1</v>
          </cell>
        </row>
        <row r="91">
          <cell r="R91">
            <v>256</v>
          </cell>
          <cell r="U91">
            <v>32</v>
          </cell>
        </row>
        <row r="92">
          <cell r="R92" t="b">
            <v>1</v>
          </cell>
        </row>
        <row r="93">
          <cell r="R93">
            <v>65536</v>
          </cell>
          <cell r="U93">
            <v>1024</v>
          </cell>
        </row>
        <row r="94">
          <cell r="R94">
            <v>16777216</v>
          </cell>
          <cell r="U94">
            <v>32768</v>
          </cell>
        </row>
        <row r="101">
          <cell r="Q101">
            <v>20000000</v>
          </cell>
          <cell r="T101">
            <v>78125</v>
          </cell>
          <cell r="BK101">
            <v>625000</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
      <sheetName val="Common-Mode Range"/>
      <sheetName val="Code Conversions"/>
      <sheetName val="Digital Filter"/>
      <sheetName val="STATUS"/>
      <sheetName val="CRC"/>
      <sheetName val="About"/>
      <sheetName val="Help"/>
    </sheetNames>
    <sheetDataSet>
      <sheetData sheetId="0"/>
      <sheetData sheetId="1"/>
      <sheetData sheetId="2"/>
      <sheetData sheetId="3">
        <row r="84">
          <cell r="T84" t="b">
            <v>0</v>
          </cell>
        </row>
      </sheetData>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
      <sheetName val="Common-Mode Range"/>
      <sheetName val="Code Conversions"/>
      <sheetName val="Digital Filter"/>
      <sheetName val="STATUS"/>
      <sheetName val="CRC"/>
      <sheetName val="About"/>
      <sheetName val="Help"/>
    </sheetNames>
    <sheetDataSet>
      <sheetData sheetId="0" refreshError="1"/>
      <sheetData sheetId="1" refreshError="1"/>
      <sheetData sheetId="2" refreshError="1"/>
      <sheetData sheetId="3">
        <row r="84">
          <cell r="T84" t="b">
            <v>0</v>
          </cell>
        </row>
      </sheetData>
      <sheetData sheetId="4" refreshError="1"/>
      <sheetData sheetId="5" refreshError="1"/>
      <sheetData sheetId="6" refreshError="1"/>
      <sheetData sheetId="7"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5-08T16:04:48.395"/>
    </inkml:context>
    <inkml:brush xml:id="br0">
      <inkml:brushProperty name="width" value="0.1" units="cm"/>
      <inkml:brushProperty name="height" value="0.1" units="cm"/>
      <inkml:brushProperty name="color" value="#FFFFFF"/>
      <inkml:brushProperty name="ignorePressure" value="1"/>
    </inkml:brush>
  </inkml:definitions>
  <inkml:trace contextRef="#ctx0" brushRef="#br0">0 0,'3'0,"0"0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5-08T16:04:57.011"/>
    </inkml:context>
    <inkml:brush xml:id="br0">
      <inkml:brushProperty name="width" value="0.1" units="cm"/>
      <inkml:brushProperty name="height" value="0.1" units="cm"/>
      <inkml:brushProperty name="color" value="#FFFFFF"/>
      <inkml:brushProperty name="ignorePressure" value="1"/>
    </inkml:brush>
  </inkml:definitions>
  <inkml:trace contextRef="#ctx0" brushRef="#br0">1 1,'0'0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5-08T16:05:09.096"/>
    </inkml:context>
    <inkml:brush xml:id="br0">
      <inkml:brushProperty name="width" value="0.1" units="cm"/>
      <inkml:brushProperty name="height" value="0.1" units="cm"/>
      <inkml:brushProperty name="color" value="#FFFFFF"/>
      <inkml:brushProperty name="ignorePressure" value="1"/>
    </inkml:brush>
  </inkml:definitions>
  <inkml:trace contextRef="#ctx0" brushRef="#br0">1 1,'2'0,"4"2,2 1,3 0,2 0,1-1,0-1,-2 2,-3 0</inkml:trace>
</inkm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Y6:BH121" totalsRowShown="0" dataDxfId="101" tableBorderDxfId="100">
  <autoFilter ref="AY6:BH121" xr:uid="{00000000-0009-0000-0100-000003000000}"/>
  <sortState ref="AY7:AY137">
    <sortCondition ref="AY1:AY132"/>
  </sortState>
  <tableColumns count="10">
    <tableColumn id="1" xr3:uid="{00000000-0010-0000-0000-000001000000}" name="R" dataDxfId="99"/>
    <tableColumn id="2" xr3:uid="{00000000-0010-0000-0000-000002000000}" name="R2" dataDxfId="98">
      <calculatedColumnFormula>Table3[[#This Row],[R]]*10</calculatedColumnFormula>
    </tableColumn>
    <tableColumn id="3" xr3:uid="{00000000-0010-0000-0000-000003000000}" name="R3" dataDxfId="97">
      <calculatedColumnFormula>Table3[[#This Row],[R2]]*10</calculatedColumnFormula>
    </tableColumn>
    <tableColumn id="4" xr3:uid="{00000000-0010-0000-0000-000004000000}" name="R4" dataDxfId="96">
      <calculatedColumnFormula>Table3[[#This Row],[R3]]*10</calculatedColumnFormula>
    </tableColumn>
    <tableColumn id="5" xr3:uid="{00000000-0010-0000-0000-000005000000}" name="R5" dataDxfId="95">
      <calculatedColumnFormula>Table3[[#This Row],[R]]/10</calculatedColumnFormula>
    </tableColumn>
    <tableColumn id="6" xr3:uid="{00000000-0010-0000-0000-000006000000}" name="R6" dataDxfId="94">
      <calculatedColumnFormula>Table3[[#This Row],[R5]]/10</calculatedColumnFormula>
    </tableColumn>
    <tableColumn id="7" xr3:uid="{00000000-0010-0000-0000-000007000000}" name="R7" dataDxfId="93">
      <calculatedColumnFormula>Table3[[#This Row],[R6]]/10</calculatedColumnFormula>
    </tableColumn>
    <tableColumn id="8" xr3:uid="{00000000-0010-0000-0000-000008000000}" name="R8" dataDxfId="92">
      <calculatedColumnFormula>Table3[[#This Row],[R7]]/10</calculatedColumnFormula>
    </tableColumn>
    <tableColumn id="9" xr3:uid="{00000000-0010-0000-0000-000009000000}" name="R9" dataDxfId="91">
      <calculatedColumnFormula>Table3[[#This Row],[R8]]/10</calculatedColumnFormula>
    </tableColumn>
    <tableColumn id="10" xr3:uid="{00000000-0010-0000-0000-00000A000000}" name="R10" dataDxfId="90">
      <calculatedColumnFormula>Table3[[#This Row],[R9]]/10</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Devices" displayName="Devices" ref="A6:AH105" totalsRowShown="0" headerRowDxfId="89" dataDxfId="87" headerRowBorderDxfId="88" tableBorderDxfId="86">
  <autoFilter ref="A6:AH105" xr:uid="{957A5EFD-9C54-4F19-AAE5-1523DECDC3B1}"/>
  <sortState ref="A7:AH105">
    <sortCondition ref="A6:A105"/>
  </sortState>
  <tableColumns count="34">
    <tableColumn id="1" xr3:uid="{00000000-0010-0000-0100-000001000000}" name="Part" dataDxfId="85"/>
    <tableColumn id="15" xr3:uid="{00000000-0010-0000-0100-00000F000000}" name="Input Type" dataDxfId="84"/>
    <tableColumn id="35" xr3:uid="{C9B48599-66D2-4E03-A048-511714954931}" name="Output Type" dataDxfId="83"/>
    <tableColumn id="2" xr3:uid="{00000000-0010-0000-0100-000002000000}" name="Gain Error Typ" dataDxfId="82"/>
    <tableColumn id="3" xr3:uid="{00000000-0010-0000-0100-000003000000}" name="Gain Error Max" dataDxfId="81"/>
    <tableColumn id="4" xr3:uid="{00000000-0010-0000-0100-000004000000}" name="Gain Drift Typ" dataDxfId="80"/>
    <tableColumn id="5" xr3:uid="{00000000-0010-0000-0100-000005000000}" name="Gain Drift Max" dataDxfId="79"/>
    <tableColumn id="6" xr3:uid="{00000000-0010-0000-0100-000006000000}" name="Offset Error Typ" dataDxfId="78"/>
    <tableColumn id="7" xr3:uid="{00000000-0010-0000-0100-000007000000}" name="Offset Error Max" dataDxfId="77"/>
    <tableColumn id="8" xr3:uid="{00000000-0010-0000-0100-000008000000}" name="Offset Drift Typ" dataDxfId="76"/>
    <tableColumn id="9" xr3:uid="{00000000-0010-0000-0100-000009000000}" name="Offset Drift Max" dataDxfId="75"/>
    <tableColumn id="10" xr3:uid="{00000000-0010-0000-0100-00000A000000}" name="INL Typ" dataDxfId="74"/>
    <tableColumn id="11" xr3:uid="{00000000-0010-0000-0100-00000B000000}" name="INL Max" dataDxfId="73"/>
    <tableColumn id="12" xr3:uid="{00000000-0010-0000-0100-00000C000000}" name="INL Drift Typ" dataDxfId="72"/>
    <tableColumn id="13" xr3:uid="{00000000-0010-0000-0100-00000D000000}" name="INL Drift Max" dataDxfId="71"/>
    <tableColumn id="14" xr3:uid="{00000000-0010-0000-0100-00000E000000}" name="±Input Voltage Range" dataDxfId="70"/>
    <tableColumn id="34" xr3:uid="{02F17658-B112-4CC3-99A6-7E029C217C81}" name="±Output Voltage Range" dataDxfId="69"/>
    <tableColumn id="29" xr3:uid="{00000000-0010-0000-0100-00001D000000}" name="Temp Min" dataDxfId="68"/>
    <tableColumn id="30" xr3:uid="{00000000-0010-0000-0100-00001E000000}" name="Temp Max" dataDxfId="67"/>
    <tableColumn id="18" xr3:uid="{00000000-0010-0000-0100-000012000000}" name="Input Resistor (R4)" dataDxfId="66"/>
    <tableColumn id="16" xr3:uid="{00000000-0010-0000-0100-000010000000}" name="Single-Ended Input Resistance" dataDxfId="65"/>
    <tableColumn id="31" xr3:uid="{00000000-0010-0000-0100-00001F000000}" name="Differential Input Resistance" dataDxfId="64"/>
    <tableColumn id="32" xr3:uid="{00000000-0010-0000-0100-000020000000}" name="Gain" dataDxfId="63"/>
    <tableColumn id="17" xr3:uid="{00000000-0010-0000-0100-000011000000}" name="Bias Current" dataDxfId="62"/>
    <tableColumn id="19" xr3:uid="{00000000-0010-0000-0100-000013000000}" name="Row Num" dataDxfId="61">
      <calculatedColumnFormula>ROW()-6</calculatedColumnFormula>
    </tableColumn>
    <tableColumn id="20" xr3:uid="{00000000-0010-0000-0100-000014000000}" name="Row Sel D" dataDxfId="60">
      <calculatedColumnFormula>IF(OR($AL$107=Devices[[#This Row],[Input Type]], 0=Devices[[#This Row],[Input Type]]),Devices[[#This Row],[Row Num]], " ")</calculatedColumnFormula>
    </tableColumn>
    <tableColumn id="21" xr3:uid="{00000000-0010-0000-0100-000015000000}" name="Row Sel SE" dataDxfId="59">
      <calculatedColumnFormula>IF(OR($AL$108=Devices[[#This Row],[Input Type]], 0=Devices[[#This Row],[Input Type]]),Devices[[#This Row],[Row Num]], " ")</calculatedColumnFormula>
    </tableColumn>
    <tableColumn id="22" xr3:uid="{00000000-0010-0000-0100-000016000000}" name="Row Sel N" dataDxfId="58">
      <calculatedColumnFormula>IF(0=Devices[[#This Row],[Input Type]], Devices[[#This Row],[Row Num]], " ")</calculatedColumnFormula>
    </tableColumn>
    <tableColumn id="23" xr3:uid="{00000000-0010-0000-0100-000017000000}" name="Sel D" dataDxfId="57">
      <calculatedColumnFormula>IFERROR(SMALL(Devices[Row Sel D], Devices[[#This Row],[Row Num]]), " ")</calculatedColumnFormula>
    </tableColumn>
    <tableColumn id="24" xr3:uid="{00000000-0010-0000-0100-000018000000}" name="Sel SE" dataDxfId="56">
      <calculatedColumnFormula>IFERROR(SMALL(Devices[Row Sel SE], Devices[[#This Row],[Row Num]]), " ")</calculatedColumnFormula>
    </tableColumn>
    <tableColumn id="25" xr3:uid="{00000000-0010-0000-0100-000019000000}" name="Sel N" dataDxfId="55">
      <calculatedColumnFormula>IFERROR(SMALL(Devices[Row Sel N], Devices[[#This Row],[Row Num]]), " ")</calculatedColumnFormula>
    </tableColumn>
    <tableColumn id="26" xr3:uid="{00000000-0010-0000-0100-00001A000000}" name="Device_List_D" dataDxfId="54">
      <calculatedColumnFormula>IFERROR(INDEX(Devices[Part], Devices[[#This Row],[Sel D]], 1), "")</calculatedColumnFormula>
    </tableColumn>
    <tableColumn id="27" xr3:uid="{00000000-0010-0000-0100-00001B000000}" name="Device_List_SE" dataDxfId="53">
      <calculatedColumnFormula>IFERROR(INDEX(Devices[Part], Devices[[#This Row],[Sel SE]], 1), "")</calculatedColumnFormula>
    </tableColumn>
    <tableColumn id="28" xr3:uid="{00000000-0010-0000-0100-00001C000000}" name="Device_List_N" dataDxfId="52">
      <calculatedColumnFormula>IFERROR(INDEX(Devices[Part], Devices[[#This Row],[Sel N]], 1),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Config" displayName="Config" ref="CA279:CB282" totalsRowShown="0" headerRowDxfId="51" dataDxfId="50">
  <tableColumns count="2">
    <tableColumn id="1" xr3:uid="{00000000-0010-0000-0200-000001000000}" name="Configuration" dataDxfId="49"/>
    <tableColumn id="2" xr3:uid="{00000000-0010-0000-0200-000002000000}" name="Image" dataDxfId="48"/>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Inputs" displayName="Inputs" ref="AL105:AL108" totalsRowShown="0" headerRowDxfId="47" dataDxfId="46">
  <tableColumns count="1">
    <tableColumn id="1" xr3:uid="{00000000-0010-0000-0300-000001000000}" name="Input Type" dataDxfId="4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ti.com/lit/gpn/AMC1302-Q1" TargetMode="External"/><Relationship Id="rId13" Type="http://schemas.openxmlformats.org/officeDocument/2006/relationships/hyperlink" Target="http://www.ti.com/lit/gpn/AMC3330" TargetMode="External"/><Relationship Id="rId18" Type="http://schemas.openxmlformats.org/officeDocument/2006/relationships/hyperlink" Target="http://www.ti.com/lit/gpn/AMC3302-Q1" TargetMode="External"/><Relationship Id="rId26" Type="http://schemas.openxmlformats.org/officeDocument/2006/relationships/hyperlink" Target="http://www.ti.com/lit/gpn/AMC0311R-Q1" TargetMode="External"/><Relationship Id="rId3" Type="http://schemas.openxmlformats.org/officeDocument/2006/relationships/hyperlink" Target="http://www.ti.com/lit/gpn/AMC1300B-Q1" TargetMode="External"/><Relationship Id="rId21" Type="http://schemas.openxmlformats.org/officeDocument/2006/relationships/hyperlink" Target="http://www.ti.com/lit/gpn/ISO224" TargetMode="External"/><Relationship Id="rId7" Type="http://schemas.openxmlformats.org/officeDocument/2006/relationships/hyperlink" Target="http://www.ti.com/lit/gpn/AMC1302" TargetMode="External"/><Relationship Id="rId12" Type="http://schemas.openxmlformats.org/officeDocument/2006/relationships/hyperlink" Target="http://www.ti.com/lit/gpn/AMC3301-Q1" TargetMode="External"/><Relationship Id="rId17" Type="http://schemas.openxmlformats.org/officeDocument/2006/relationships/hyperlink" Target="http://www.ti.com/lit/gpn/AMC1411" TargetMode="External"/><Relationship Id="rId25" Type="http://schemas.openxmlformats.org/officeDocument/2006/relationships/hyperlink" Target="http://www.ti.com/lit/gpn/AMC0311R-Q1" TargetMode="External"/><Relationship Id="rId2" Type="http://schemas.openxmlformats.org/officeDocument/2006/relationships/hyperlink" Target="https://www.ti.com/lit/slyt810" TargetMode="External"/><Relationship Id="rId16" Type="http://schemas.openxmlformats.org/officeDocument/2006/relationships/hyperlink" Target="http://www.ti.com/lit/gpn/AMC1400" TargetMode="External"/><Relationship Id="rId20" Type="http://schemas.openxmlformats.org/officeDocument/2006/relationships/hyperlink" Target="http://www.ti.com/lit/gpn/AMC1351" TargetMode="External"/><Relationship Id="rId29" Type="http://schemas.openxmlformats.org/officeDocument/2006/relationships/hyperlink" Target="https://www.ti.com/lit/eb/slyy234/slyy234.pdf" TargetMode="External"/><Relationship Id="rId1" Type="http://schemas.openxmlformats.org/officeDocument/2006/relationships/hyperlink" Target="http://e2e.ti.com/support/data_converters/precision_data_converters/" TargetMode="External"/><Relationship Id="rId6" Type="http://schemas.openxmlformats.org/officeDocument/2006/relationships/hyperlink" Target="http://www.ti.com/lit/gpn/AMC1301-Q1" TargetMode="External"/><Relationship Id="rId11" Type="http://schemas.openxmlformats.org/officeDocument/2006/relationships/hyperlink" Target="http://www.ti.com/lit/gpn/AMC3301" TargetMode="External"/><Relationship Id="rId24" Type="http://schemas.openxmlformats.org/officeDocument/2006/relationships/hyperlink" Target="http://www.ti.com/lit/gpn/AMC0311D-Q1" TargetMode="External"/><Relationship Id="rId5" Type="http://schemas.openxmlformats.org/officeDocument/2006/relationships/hyperlink" Target="http://www.ti.com/lit/gpn/AMC1301" TargetMode="External"/><Relationship Id="rId15" Type="http://schemas.openxmlformats.org/officeDocument/2006/relationships/hyperlink" Target="http://www.ti.com/lit/gpn/AMC3302" TargetMode="External"/><Relationship Id="rId23" Type="http://schemas.openxmlformats.org/officeDocument/2006/relationships/hyperlink" Target="http://www.ti.com/lit/gpn/AMC0311D" TargetMode="External"/><Relationship Id="rId28" Type="http://schemas.openxmlformats.org/officeDocument/2006/relationships/hyperlink" Target="http://www.ti.com/lit/gpn/AMC0311S-Q1" TargetMode="External"/><Relationship Id="rId10" Type="http://schemas.openxmlformats.org/officeDocument/2006/relationships/hyperlink" Target="http://www.ti.com/lit/gpn/AMC1311-Q1" TargetMode="External"/><Relationship Id="rId19" Type="http://schemas.openxmlformats.org/officeDocument/2006/relationships/hyperlink" Target="http://www.ti.com/lit/gpn/AMC1350" TargetMode="External"/><Relationship Id="rId31" Type="http://schemas.openxmlformats.org/officeDocument/2006/relationships/drawing" Target="../drawings/drawing2.xml"/><Relationship Id="rId4" Type="http://schemas.openxmlformats.org/officeDocument/2006/relationships/hyperlink" Target="http://www.ti.com/lit/gpn/AMC1300" TargetMode="External"/><Relationship Id="rId9" Type="http://schemas.openxmlformats.org/officeDocument/2006/relationships/hyperlink" Target="http://www.ti.com/lit/gpn/AMC1311" TargetMode="External"/><Relationship Id="rId14" Type="http://schemas.openxmlformats.org/officeDocument/2006/relationships/hyperlink" Target="http://www.ti.com/lit/gpn/AMC3330-Q1" TargetMode="External"/><Relationship Id="rId22" Type="http://schemas.openxmlformats.org/officeDocument/2006/relationships/hyperlink" Target="http://www.ti.com/lit/gpn/AMC1211-q1" TargetMode="External"/><Relationship Id="rId27" Type="http://schemas.openxmlformats.org/officeDocument/2006/relationships/hyperlink" Target="http://www.ti.com/lit/gpn/AMC0311S" TargetMode="External"/><Relationship Id="rId30"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e2e.ti.com/support/data_converters/precision_data_converte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89"/>
  <sheetViews>
    <sheetView showGridLines="0" showRowColHeaders="0" tabSelected="1" zoomScaleNormal="100" workbookViewId="0">
      <selection activeCell="G23" sqref="G23"/>
    </sheetView>
  </sheetViews>
  <sheetFormatPr defaultColWidth="8.73046875" defaultRowHeight="14.25"/>
  <cols>
    <col min="1" max="2" width="8.73046875" style="317"/>
    <col min="3" max="5" width="10.73046875" style="317" customWidth="1"/>
    <col min="6" max="16384" width="8.73046875" style="317"/>
  </cols>
  <sheetData>
    <row r="1" spans="1:31" ht="15" customHeight="1">
      <c r="A1" s="525"/>
      <c r="B1" s="525"/>
      <c r="C1" s="525"/>
      <c r="D1" s="525"/>
      <c r="E1" s="525"/>
      <c r="F1" s="525"/>
      <c r="G1" s="525"/>
      <c r="H1" s="525"/>
      <c r="I1" s="525"/>
      <c r="J1" s="525"/>
      <c r="K1" s="525"/>
      <c r="L1" s="525"/>
      <c r="M1" s="525"/>
      <c r="N1" s="525"/>
      <c r="O1" s="525"/>
      <c r="P1" s="525"/>
      <c r="Q1" s="525"/>
      <c r="R1" s="525"/>
      <c r="S1" s="525"/>
      <c r="T1" s="525"/>
      <c r="U1" s="525"/>
      <c r="V1" s="218"/>
      <c r="W1" s="218"/>
      <c r="X1" s="218"/>
      <c r="Y1" s="218"/>
      <c r="Z1" s="218"/>
      <c r="AA1" s="218"/>
      <c r="AB1" s="218"/>
      <c r="AC1" s="218"/>
      <c r="AD1" s="218"/>
      <c r="AE1" s="218"/>
    </row>
    <row r="2" spans="1:31" ht="15" customHeight="1">
      <c r="A2" s="525"/>
      <c r="B2" s="525"/>
      <c r="C2" s="525"/>
      <c r="D2" s="525"/>
      <c r="E2" s="525"/>
      <c r="F2" s="525"/>
      <c r="G2" s="525"/>
      <c r="H2" s="525"/>
      <c r="I2" s="525"/>
      <c r="J2" s="525"/>
      <c r="K2" s="525"/>
      <c r="L2" s="525"/>
      <c r="M2" s="525"/>
      <c r="N2" s="525"/>
      <c r="O2" s="525"/>
      <c r="P2" s="525"/>
      <c r="Q2" s="525"/>
      <c r="R2" s="525"/>
      <c r="S2" s="525"/>
      <c r="T2" s="525"/>
      <c r="U2" s="525"/>
      <c r="V2" s="218"/>
      <c r="W2" s="218"/>
      <c r="X2" s="218"/>
      <c r="Y2" s="218"/>
      <c r="Z2" s="218"/>
      <c r="AA2" s="218"/>
      <c r="AB2" s="218"/>
      <c r="AC2" s="218"/>
      <c r="AD2" s="218"/>
      <c r="AE2" s="218"/>
    </row>
    <row r="3" spans="1:31" ht="15" customHeight="1">
      <c r="A3" s="525"/>
      <c r="B3" s="525"/>
      <c r="C3" s="525"/>
      <c r="D3" s="525"/>
      <c r="E3" s="525"/>
      <c r="F3" s="525"/>
      <c r="G3" s="525"/>
      <c r="H3" s="525"/>
      <c r="I3" s="525"/>
      <c r="J3" s="525"/>
      <c r="K3" s="525"/>
      <c r="L3" s="525"/>
      <c r="M3" s="525"/>
      <c r="N3" s="525"/>
      <c r="O3" s="525"/>
      <c r="P3" s="525"/>
      <c r="Q3" s="525"/>
      <c r="R3" s="525"/>
      <c r="S3" s="525"/>
      <c r="T3" s="525"/>
      <c r="U3" s="525"/>
      <c r="V3" s="218"/>
      <c r="W3" s="218"/>
      <c r="X3" s="218"/>
      <c r="Y3" s="218"/>
      <c r="Z3" s="218"/>
      <c r="AA3" s="218"/>
      <c r="AB3" s="218"/>
      <c r="AC3" s="218"/>
      <c r="AD3" s="218"/>
      <c r="AE3" s="218"/>
    </row>
    <row r="4" spans="1:31" ht="15" customHeight="1">
      <c r="A4" s="527"/>
      <c r="B4" s="527"/>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c r="AC4" s="527"/>
      <c r="AD4" s="527"/>
      <c r="AE4" s="527"/>
    </row>
    <row r="5" spans="1:31" ht="15" customHeight="1">
      <c r="A5" s="220"/>
      <c r="B5" s="220"/>
      <c r="C5" s="220"/>
      <c r="D5" s="220"/>
      <c r="E5" s="220"/>
      <c r="F5" s="220"/>
      <c r="G5" s="220"/>
      <c r="H5" s="220"/>
      <c r="I5" s="220"/>
      <c r="J5" s="220"/>
      <c r="K5" s="220"/>
      <c r="L5" s="220"/>
      <c r="M5" s="220"/>
      <c r="N5" s="220"/>
      <c r="O5" s="220"/>
      <c r="P5" s="220"/>
      <c r="Q5" s="220"/>
      <c r="R5" s="220"/>
      <c r="S5" s="220"/>
      <c r="T5" s="220"/>
      <c r="U5" s="220"/>
      <c r="V5" s="220"/>
      <c r="W5" s="218"/>
      <c r="X5" s="218"/>
      <c r="Y5" s="218"/>
      <c r="Z5" s="218"/>
      <c r="AA5" s="218"/>
      <c r="AB5" s="218"/>
      <c r="AC5" s="218"/>
      <c r="AD5" s="218"/>
      <c r="AE5" s="218"/>
    </row>
    <row r="6" spans="1:31" ht="15" customHeight="1">
      <c r="A6" s="220"/>
      <c r="B6" s="220"/>
      <c r="C6" s="220"/>
      <c r="D6" s="220"/>
      <c r="E6" s="220"/>
      <c r="F6" s="220"/>
      <c r="G6" s="220"/>
      <c r="H6" s="220"/>
      <c r="I6" s="220"/>
      <c r="J6" s="220"/>
      <c r="K6" s="220"/>
      <c r="L6" s="220"/>
      <c r="M6" s="220"/>
      <c r="N6" s="220"/>
      <c r="O6" s="220"/>
      <c r="P6" s="220"/>
      <c r="Q6" s="220"/>
      <c r="R6" s="220"/>
      <c r="S6" s="220"/>
      <c r="T6" s="220"/>
      <c r="U6" s="220"/>
      <c r="V6" s="220"/>
      <c r="W6" s="218"/>
      <c r="X6" s="218"/>
      <c r="Y6" s="218"/>
      <c r="Z6" s="218"/>
      <c r="AA6" s="218"/>
      <c r="AB6" s="218"/>
      <c r="AC6" s="218"/>
      <c r="AD6" s="218"/>
      <c r="AE6" s="218"/>
    </row>
    <row r="7" spans="1:31" ht="15" customHeight="1" thickBot="1">
      <c r="A7" s="220"/>
      <c r="B7" s="526" t="s">
        <v>3</v>
      </c>
      <c r="C7" s="526"/>
      <c r="D7" s="526"/>
      <c r="E7" s="220"/>
      <c r="F7" s="526" t="s">
        <v>4</v>
      </c>
      <c r="G7" s="526"/>
      <c r="H7" s="526"/>
      <c r="I7" s="526"/>
      <c r="J7" s="526"/>
      <c r="K7" s="526"/>
      <c r="L7" s="526"/>
      <c r="M7" s="526"/>
      <c r="N7" s="526"/>
      <c r="O7" s="526"/>
      <c r="P7" s="526"/>
      <c r="Q7" s="526"/>
      <c r="R7" s="218"/>
      <c r="S7" s="220"/>
      <c r="T7" s="220"/>
      <c r="U7" s="220"/>
      <c r="V7" s="220"/>
      <c r="W7" s="218"/>
      <c r="X7" s="218"/>
      <c r="Y7" s="218"/>
      <c r="Z7" s="218"/>
      <c r="AA7" s="218"/>
      <c r="AB7" s="218"/>
      <c r="AC7" s="218"/>
      <c r="AD7" s="218"/>
      <c r="AE7" s="218"/>
    </row>
    <row r="8" spans="1:31" ht="15" customHeight="1">
      <c r="A8" s="220"/>
      <c r="B8" s="220"/>
      <c r="C8" s="220"/>
      <c r="D8" s="220"/>
      <c r="E8" s="220"/>
      <c r="F8" s="265"/>
      <c r="G8" s="220"/>
      <c r="H8" s="220"/>
      <c r="I8" s="220"/>
      <c r="J8" s="220"/>
      <c r="K8" s="220"/>
      <c r="L8" s="220"/>
      <c r="M8" s="220"/>
      <c r="N8" s="220"/>
      <c r="O8" s="220"/>
      <c r="P8" s="220"/>
      <c r="Q8" s="220"/>
      <c r="R8" s="218"/>
      <c r="S8" s="220"/>
      <c r="T8" s="220"/>
      <c r="U8" s="220"/>
      <c r="V8" s="220"/>
      <c r="W8" s="218"/>
      <c r="X8" s="218"/>
      <c r="Y8" s="218"/>
      <c r="Z8" s="218"/>
      <c r="AA8" s="218"/>
      <c r="AB8" s="218"/>
      <c r="AC8" s="218"/>
      <c r="AD8" s="218"/>
      <c r="AE8" s="218"/>
    </row>
    <row r="9" spans="1:31" ht="15" customHeight="1">
      <c r="A9" s="220"/>
      <c r="B9" s="529" t="s">
        <v>6</v>
      </c>
      <c r="C9" s="529"/>
      <c r="D9" s="529"/>
      <c r="E9" s="280"/>
      <c r="F9" s="528" t="s">
        <v>7</v>
      </c>
      <c r="G9" s="528"/>
      <c r="H9" s="528"/>
      <c r="I9" s="528"/>
      <c r="J9" s="528"/>
      <c r="K9" s="528"/>
      <c r="L9" s="528"/>
      <c r="M9" s="528"/>
      <c r="N9" s="528"/>
      <c r="O9" s="528"/>
      <c r="P9" s="528"/>
      <c r="Q9" s="528"/>
      <c r="R9" s="218"/>
      <c r="S9" s="220"/>
      <c r="T9" s="220"/>
      <c r="U9" s="220"/>
      <c r="V9" s="220"/>
      <c r="W9" s="218"/>
      <c r="X9" s="218"/>
      <c r="Y9" s="218"/>
      <c r="Z9" s="218"/>
      <c r="AA9" s="218"/>
      <c r="AB9" s="218"/>
      <c r="AC9" s="218"/>
      <c r="AD9" s="218"/>
      <c r="AE9" s="218"/>
    </row>
    <row r="10" spans="1:31" ht="15" customHeight="1">
      <c r="A10" s="220"/>
      <c r="B10" s="359"/>
      <c r="C10" s="359"/>
      <c r="D10" s="359"/>
      <c r="E10" s="280"/>
      <c r="F10" s="318"/>
      <c r="G10" s="318"/>
      <c r="H10" s="318"/>
      <c r="I10" s="318"/>
      <c r="J10" s="318"/>
      <c r="K10" s="318"/>
      <c r="L10" s="318"/>
      <c r="M10" s="318"/>
      <c r="N10" s="318"/>
      <c r="O10" s="318"/>
      <c r="P10" s="318"/>
      <c r="Q10" s="318"/>
      <c r="R10" s="218"/>
      <c r="S10" s="220"/>
      <c r="T10" s="220"/>
      <c r="U10" s="220"/>
      <c r="V10" s="220"/>
      <c r="W10" s="218"/>
      <c r="X10" s="218"/>
      <c r="Y10" s="218"/>
      <c r="Z10" s="218"/>
      <c r="AA10" s="218"/>
      <c r="AB10" s="218"/>
      <c r="AC10" s="218"/>
      <c r="AD10" s="218"/>
      <c r="AE10" s="218"/>
    </row>
    <row r="11" spans="1:31" ht="15" customHeight="1">
      <c r="A11" s="218"/>
      <c r="B11" s="359" t="s">
        <v>395</v>
      </c>
      <c r="C11" s="359"/>
      <c r="D11" s="359"/>
      <c r="E11" s="280"/>
      <c r="F11" s="318" t="s">
        <v>397</v>
      </c>
      <c r="G11" s="318"/>
      <c r="H11" s="318"/>
      <c r="I11" s="318"/>
      <c r="J11" s="318"/>
      <c r="K11" s="318"/>
      <c r="L11" s="318"/>
      <c r="M11" s="280"/>
      <c r="N11" s="280"/>
      <c r="O11" s="280"/>
      <c r="P11" s="280"/>
      <c r="Q11" s="280"/>
      <c r="R11" s="218"/>
      <c r="S11" s="220"/>
      <c r="T11" s="220"/>
      <c r="U11" s="220"/>
      <c r="V11" s="220"/>
      <c r="W11" s="218"/>
      <c r="X11" s="218"/>
      <c r="Y11" s="218"/>
      <c r="Z11" s="218"/>
      <c r="AA11" s="218"/>
      <c r="AB11" s="218"/>
      <c r="AC11" s="218"/>
      <c r="AD11" s="218"/>
      <c r="AE11" s="218"/>
    </row>
    <row r="12" spans="1:31" ht="15" customHeight="1">
      <c r="A12" s="220"/>
      <c r="B12" s="263"/>
      <c r="C12" s="263"/>
      <c r="D12" s="263"/>
      <c r="E12" s="280"/>
      <c r="F12" s="280"/>
      <c r="G12" s="280"/>
      <c r="H12" s="280"/>
      <c r="I12" s="280"/>
      <c r="J12" s="280"/>
      <c r="K12" s="280"/>
      <c r="L12" s="318"/>
      <c r="M12" s="318"/>
      <c r="N12" s="318"/>
      <c r="O12" s="318"/>
      <c r="P12" s="318"/>
      <c r="Q12" s="318"/>
      <c r="R12" s="218"/>
      <c r="S12" s="220"/>
      <c r="T12" s="220"/>
      <c r="U12" s="220"/>
      <c r="V12" s="220"/>
      <c r="W12" s="218"/>
      <c r="X12" s="218"/>
      <c r="Y12" s="218"/>
      <c r="Z12" s="218"/>
      <c r="AA12" s="218"/>
      <c r="AB12" s="218"/>
      <c r="AC12" s="218"/>
      <c r="AD12" s="218"/>
      <c r="AE12" s="218"/>
    </row>
    <row r="13" spans="1:31" ht="15" customHeight="1">
      <c r="A13" s="220"/>
      <c r="B13" s="529" t="s">
        <v>192</v>
      </c>
      <c r="C13" s="529"/>
      <c r="D13" s="529"/>
      <c r="E13" s="280"/>
      <c r="F13" s="318" t="s">
        <v>249</v>
      </c>
      <c r="G13" s="318"/>
      <c r="H13" s="318"/>
      <c r="I13" s="318"/>
      <c r="J13" s="318"/>
      <c r="K13" s="318"/>
      <c r="L13" s="280"/>
      <c r="M13" s="280"/>
      <c r="N13" s="280"/>
      <c r="O13" s="280"/>
      <c r="P13" s="280"/>
      <c r="Q13" s="280"/>
      <c r="R13" s="218"/>
      <c r="S13" s="220"/>
      <c r="T13" s="220"/>
      <c r="U13" s="220"/>
      <c r="V13" s="220"/>
      <c r="W13" s="218"/>
      <c r="X13" s="218"/>
      <c r="Y13" s="218"/>
      <c r="Z13" s="218"/>
      <c r="AA13" s="218"/>
      <c r="AB13" s="218"/>
      <c r="AC13" s="218"/>
      <c r="AD13" s="218"/>
      <c r="AE13" s="218"/>
    </row>
    <row r="14" spans="1:31" ht="15" customHeight="1">
      <c r="A14" s="220"/>
      <c r="B14" s="263"/>
      <c r="C14" s="263"/>
      <c r="D14" s="263"/>
      <c r="E14" s="280"/>
      <c r="F14" s="280"/>
      <c r="G14" s="280"/>
      <c r="H14" s="280"/>
      <c r="I14" s="280"/>
      <c r="J14" s="280"/>
      <c r="K14" s="280"/>
      <c r="L14" s="318"/>
      <c r="M14" s="318"/>
      <c r="N14" s="318"/>
      <c r="O14" s="318"/>
      <c r="P14" s="318"/>
      <c r="Q14" s="318"/>
      <c r="R14" s="218"/>
      <c r="S14" s="220"/>
      <c r="T14" s="220"/>
      <c r="U14" s="220"/>
      <c r="V14" s="220"/>
      <c r="W14" s="218"/>
      <c r="X14" s="218"/>
      <c r="Y14" s="218"/>
      <c r="Z14" s="218"/>
      <c r="AA14" s="218"/>
      <c r="AB14" s="218"/>
      <c r="AC14" s="218"/>
      <c r="AD14" s="218"/>
      <c r="AE14" s="218"/>
    </row>
    <row r="15" spans="1:31" ht="15" customHeight="1">
      <c r="A15" s="220"/>
      <c r="B15" s="530" t="s">
        <v>42</v>
      </c>
      <c r="C15" s="529"/>
      <c r="D15" s="529"/>
      <c r="E15" s="280"/>
      <c r="F15" s="318" t="s">
        <v>250</v>
      </c>
      <c r="G15" s="318"/>
      <c r="H15" s="318"/>
      <c r="I15" s="318"/>
      <c r="J15" s="318"/>
      <c r="K15" s="318"/>
      <c r="L15" s="280"/>
      <c r="M15" s="280"/>
      <c r="N15" s="280"/>
      <c r="O15" s="280"/>
      <c r="P15" s="280"/>
      <c r="Q15" s="280"/>
      <c r="R15" s="218"/>
      <c r="S15" s="220"/>
      <c r="T15" s="220"/>
      <c r="U15" s="220"/>
      <c r="V15" s="220"/>
      <c r="W15" s="218"/>
      <c r="X15" s="218"/>
      <c r="Y15" s="218"/>
      <c r="Z15" s="218"/>
      <c r="AA15" s="218"/>
      <c r="AB15" s="218"/>
      <c r="AC15" s="218"/>
      <c r="AD15" s="218"/>
      <c r="AE15" s="218"/>
    </row>
    <row r="16" spans="1:31" ht="15" customHeight="1">
      <c r="A16" s="220"/>
      <c r="B16" s="263"/>
      <c r="C16" s="263"/>
      <c r="D16" s="263"/>
      <c r="E16" s="280"/>
      <c r="F16" s="280"/>
      <c r="G16" s="280"/>
      <c r="H16" s="280"/>
      <c r="I16" s="280"/>
      <c r="J16" s="280"/>
      <c r="K16" s="280"/>
      <c r="L16" s="318"/>
      <c r="M16" s="318"/>
      <c r="N16" s="318"/>
      <c r="O16" s="318"/>
      <c r="P16" s="318"/>
      <c r="Q16" s="318"/>
      <c r="R16" s="218"/>
      <c r="S16" s="220"/>
      <c r="T16" s="220"/>
      <c r="U16" s="220"/>
      <c r="V16" s="220"/>
      <c r="W16" s="218"/>
      <c r="X16" s="218"/>
      <c r="Y16" s="218"/>
      <c r="Z16" s="218"/>
      <c r="AA16" s="218"/>
      <c r="AB16" s="218"/>
      <c r="AC16" s="218"/>
      <c r="AD16" s="218"/>
      <c r="AE16" s="218"/>
    </row>
    <row r="17" spans="1:31" ht="15" customHeight="1">
      <c r="A17" s="220"/>
      <c r="B17" s="530" t="s">
        <v>183</v>
      </c>
      <c r="C17" s="529"/>
      <c r="D17" s="529"/>
      <c r="E17" s="280"/>
      <c r="F17" s="318" t="s">
        <v>5</v>
      </c>
      <c r="G17" s="318"/>
      <c r="H17" s="318"/>
      <c r="I17" s="318"/>
      <c r="J17" s="318"/>
      <c r="K17" s="318"/>
      <c r="L17" s="220"/>
      <c r="M17" s="220"/>
      <c r="N17" s="220"/>
      <c r="O17" s="220"/>
      <c r="P17" s="220"/>
      <c r="Q17" s="220"/>
      <c r="R17" s="218"/>
      <c r="S17" s="220"/>
      <c r="T17" s="220"/>
      <c r="U17" s="220"/>
      <c r="V17" s="220"/>
      <c r="W17" s="218"/>
      <c r="X17" s="218"/>
      <c r="Y17" s="218"/>
      <c r="Z17" s="218"/>
      <c r="AA17" s="218"/>
      <c r="AB17" s="218"/>
      <c r="AC17" s="218"/>
      <c r="AD17" s="218"/>
      <c r="AE17" s="218"/>
    </row>
    <row r="18" spans="1:31" ht="15" customHeight="1">
      <c r="A18" s="220"/>
      <c r="B18" s="263"/>
      <c r="C18" s="263"/>
      <c r="D18" s="263"/>
      <c r="E18" s="220"/>
      <c r="F18" s="265"/>
      <c r="G18" s="220"/>
      <c r="H18" s="220"/>
      <c r="I18" s="320"/>
      <c r="J18" s="220"/>
      <c r="K18" s="220"/>
      <c r="L18" s="258"/>
      <c r="M18" s="258"/>
      <c r="N18" s="258"/>
      <c r="O18" s="258"/>
      <c r="P18" s="258"/>
      <c r="Q18" s="258"/>
      <c r="R18" s="258"/>
      <c r="S18" s="258"/>
      <c r="T18" s="258"/>
      <c r="U18" s="258"/>
      <c r="V18" s="220"/>
      <c r="W18" s="218"/>
      <c r="X18" s="218"/>
      <c r="Y18" s="218"/>
      <c r="Z18" s="218"/>
      <c r="AA18" s="218"/>
      <c r="AB18" s="218"/>
      <c r="AC18" s="218"/>
      <c r="AD18" s="218"/>
      <c r="AE18" s="218"/>
    </row>
    <row r="19" spans="1:31" ht="15" customHeight="1">
      <c r="A19" s="220"/>
      <c r="B19" s="220"/>
      <c r="C19" s="218"/>
      <c r="D19" s="218"/>
      <c r="E19" s="218"/>
      <c r="F19" s="218"/>
      <c r="G19" s="218"/>
      <c r="H19" s="220"/>
      <c r="I19" s="258"/>
      <c r="J19" s="258"/>
      <c r="K19" s="258"/>
      <c r="L19" s="280"/>
      <c r="M19" s="280"/>
      <c r="N19" s="280"/>
      <c r="O19" s="280"/>
      <c r="P19" s="220"/>
      <c r="Q19" s="220"/>
      <c r="R19" s="220"/>
      <c r="S19" s="220"/>
      <c r="T19" s="220"/>
      <c r="U19" s="220"/>
      <c r="V19" s="220"/>
      <c r="W19" s="218"/>
      <c r="X19" s="218"/>
      <c r="Y19" s="218"/>
      <c r="Z19" s="218"/>
      <c r="AA19" s="218"/>
      <c r="AB19" s="218"/>
      <c r="AC19" s="218"/>
      <c r="AD19" s="218"/>
      <c r="AE19" s="218"/>
    </row>
    <row r="20" spans="1:31" ht="15" customHeight="1" thickBot="1">
      <c r="A20" s="220"/>
      <c r="B20" s="526" t="s">
        <v>12</v>
      </c>
      <c r="C20" s="526"/>
      <c r="D20" s="526"/>
      <c r="E20" s="526"/>
      <c r="F20" s="526"/>
      <c r="G20" s="526"/>
      <c r="H20" s="526"/>
      <c r="I20" s="526"/>
      <c r="J20" s="526"/>
      <c r="K20" s="526"/>
      <c r="L20" s="526"/>
      <c r="M20" s="526"/>
      <c r="N20" s="319"/>
      <c r="O20" s="319"/>
      <c r="P20" s="319"/>
      <c r="Q20" s="319"/>
      <c r="R20" s="220"/>
      <c r="S20" s="220"/>
      <c r="T20" s="220"/>
      <c r="U20" s="220"/>
      <c r="V20" s="220"/>
      <c r="W20" s="218"/>
      <c r="X20" s="218"/>
      <c r="Y20" s="218"/>
      <c r="Z20" s="218"/>
      <c r="AA20" s="218"/>
      <c r="AB20" s="218"/>
      <c r="AC20" s="218"/>
      <c r="AD20" s="218"/>
      <c r="AE20" s="218"/>
    </row>
    <row r="21" spans="1:31" ht="15" customHeight="1">
      <c r="A21" s="220"/>
      <c r="B21" s="318" t="s">
        <v>248</v>
      </c>
      <c r="C21" s="318"/>
      <c r="D21" s="318"/>
      <c r="E21" s="318"/>
      <c r="F21" s="318"/>
      <c r="G21" s="318"/>
      <c r="H21" s="318"/>
      <c r="I21" s="318"/>
      <c r="J21" s="318"/>
      <c r="K21" s="318"/>
      <c r="L21" s="263"/>
      <c r="M21" s="263"/>
      <c r="N21" s="263"/>
      <c r="O21" s="263"/>
      <c r="P21" s="263"/>
      <c r="Q21" s="220"/>
      <c r="R21" s="220"/>
      <c r="S21" s="220"/>
      <c r="T21" s="220"/>
      <c r="U21" s="220"/>
      <c r="V21" s="220"/>
      <c r="W21" s="218"/>
      <c r="X21" s="218"/>
      <c r="Y21" s="218"/>
      <c r="Z21" s="218"/>
      <c r="AA21" s="218"/>
      <c r="AB21" s="218"/>
      <c r="AC21" s="218"/>
      <c r="AD21" s="218"/>
      <c r="AE21" s="218"/>
    </row>
    <row r="22" spans="1:31" ht="15" customHeight="1">
      <c r="A22" s="220"/>
      <c r="B22" s="263"/>
      <c r="C22" s="263"/>
      <c r="D22" s="263"/>
      <c r="E22" s="263"/>
      <c r="F22" s="263"/>
      <c r="G22" s="263"/>
      <c r="H22" s="263"/>
      <c r="I22" s="263"/>
      <c r="J22" s="263"/>
      <c r="K22" s="263"/>
      <c r="L22" s="220"/>
      <c r="M22" s="220"/>
      <c r="N22" s="220"/>
      <c r="O22" s="220"/>
      <c r="P22" s="220"/>
      <c r="Q22" s="220"/>
      <c r="R22" s="220"/>
      <c r="S22" s="220"/>
      <c r="T22" s="220"/>
      <c r="U22" s="220"/>
      <c r="V22" s="220"/>
      <c r="W22" s="218"/>
      <c r="X22" s="218"/>
      <c r="Y22" s="218"/>
      <c r="Z22" s="218"/>
      <c r="AA22" s="218"/>
      <c r="AB22" s="218"/>
      <c r="AC22" s="218"/>
      <c r="AD22" s="218"/>
      <c r="AE22" s="218"/>
    </row>
    <row r="23" spans="1:31" ht="15" customHeight="1">
      <c r="A23" s="220"/>
      <c r="B23" s="220"/>
      <c r="C23" s="220"/>
      <c r="D23" s="220"/>
      <c r="E23" s="220"/>
      <c r="F23" s="220"/>
      <c r="G23" s="220"/>
      <c r="H23" s="220"/>
      <c r="I23" s="218"/>
      <c r="J23" s="220"/>
      <c r="K23" s="220"/>
      <c r="L23" s="218"/>
      <c r="M23" s="218"/>
      <c r="N23" s="218"/>
      <c r="O23" s="218"/>
      <c r="P23" s="218"/>
      <c r="Q23" s="218"/>
      <c r="R23" s="220"/>
      <c r="S23" s="220"/>
      <c r="T23" s="220"/>
      <c r="U23" s="220"/>
      <c r="V23" s="220"/>
      <c r="W23" s="218"/>
      <c r="X23" s="218"/>
      <c r="Y23" s="218"/>
      <c r="Z23" s="218"/>
      <c r="AA23" s="218"/>
      <c r="AB23" s="218"/>
      <c r="AC23" s="218"/>
      <c r="AD23" s="218"/>
      <c r="AE23" s="218"/>
    </row>
    <row r="24" spans="1:31" ht="15" customHeight="1">
      <c r="A24" s="220"/>
      <c r="B24" s="218"/>
      <c r="C24" s="218"/>
      <c r="D24" s="218"/>
      <c r="E24" s="218"/>
      <c r="F24" s="218"/>
      <c r="G24" s="218"/>
      <c r="H24" s="218"/>
      <c r="I24" s="218"/>
      <c r="J24" s="218"/>
      <c r="K24" s="218"/>
      <c r="L24" s="220"/>
      <c r="M24" s="220"/>
      <c r="N24" s="220"/>
      <c r="O24" s="220"/>
      <c r="P24" s="220"/>
      <c r="Q24" s="220"/>
      <c r="R24" s="220"/>
      <c r="S24" s="220"/>
      <c r="T24" s="220"/>
      <c r="U24" s="220"/>
      <c r="V24" s="220"/>
      <c r="W24" s="218"/>
      <c r="X24" s="218"/>
      <c r="Y24" s="218"/>
      <c r="Z24" s="218"/>
      <c r="AA24" s="218"/>
      <c r="AB24" s="218"/>
      <c r="AC24" s="218"/>
      <c r="AD24" s="218"/>
      <c r="AE24" s="218"/>
    </row>
    <row r="25" spans="1:31" ht="15" customHeight="1">
      <c r="A25" s="220"/>
      <c r="B25" s="220"/>
      <c r="C25" s="218"/>
      <c r="D25" s="218"/>
      <c r="E25" s="218"/>
      <c r="F25" s="218"/>
      <c r="G25" s="218"/>
      <c r="H25" s="218"/>
      <c r="I25" s="218"/>
      <c r="J25" s="220"/>
      <c r="K25" s="220"/>
      <c r="L25" s="220"/>
      <c r="M25" s="220"/>
      <c r="N25" s="220"/>
      <c r="O25" s="220"/>
      <c r="P25" s="220"/>
      <c r="Q25" s="220"/>
      <c r="R25" s="220"/>
      <c r="S25" s="220"/>
      <c r="T25" s="220"/>
      <c r="U25" s="220"/>
      <c r="V25" s="220"/>
      <c r="W25" s="218"/>
      <c r="X25" s="218"/>
      <c r="Y25" s="218"/>
      <c r="Z25" s="218"/>
      <c r="AA25" s="218"/>
      <c r="AB25" s="218"/>
      <c r="AC25" s="218"/>
      <c r="AD25" s="218"/>
      <c r="AE25" s="218"/>
    </row>
    <row r="26" spans="1:31" ht="15" customHeight="1">
      <c r="A26" s="220"/>
      <c r="B26" s="220"/>
      <c r="C26" s="218"/>
      <c r="D26" s="218"/>
      <c r="E26" s="218"/>
      <c r="F26" s="218"/>
      <c r="G26" s="218"/>
      <c r="H26" s="218"/>
      <c r="I26" s="218"/>
      <c r="J26" s="220"/>
      <c r="K26" s="220"/>
      <c r="L26" s="220"/>
      <c r="M26" s="220"/>
      <c r="N26" s="220"/>
      <c r="O26" s="220"/>
      <c r="P26" s="220"/>
      <c r="Q26" s="220"/>
      <c r="R26" s="220"/>
      <c r="S26" s="220"/>
      <c r="T26" s="220"/>
      <c r="U26" s="220"/>
      <c r="V26" s="220"/>
      <c r="W26" s="218"/>
      <c r="X26" s="218"/>
      <c r="Y26" s="218"/>
      <c r="Z26" s="218"/>
      <c r="AA26" s="218"/>
      <c r="AB26" s="218"/>
      <c r="AC26" s="218"/>
      <c r="AD26" s="218"/>
      <c r="AE26" s="218"/>
    </row>
    <row r="27" spans="1:31" ht="15" customHeight="1">
      <c r="A27" s="1"/>
      <c r="B27" s="1"/>
      <c r="J27" s="1"/>
      <c r="K27" s="1"/>
      <c r="L27" s="1"/>
      <c r="M27" s="1"/>
      <c r="N27" s="1"/>
      <c r="O27" s="1"/>
      <c r="P27" s="1"/>
      <c r="Q27" s="1"/>
      <c r="R27" s="1"/>
      <c r="S27" s="1"/>
      <c r="T27" s="1"/>
      <c r="U27" s="1"/>
      <c r="V27" s="1"/>
    </row>
    <row r="28" spans="1:31" ht="15" customHeight="1">
      <c r="A28" s="1"/>
      <c r="B28" s="1"/>
      <c r="C28" s="2"/>
      <c r="D28" s="1"/>
      <c r="E28" s="1"/>
      <c r="F28" s="1"/>
      <c r="G28" s="1"/>
      <c r="H28" s="1"/>
      <c r="I28" s="1"/>
      <c r="J28" s="1"/>
      <c r="K28" s="1"/>
      <c r="L28" s="1"/>
      <c r="M28" s="1"/>
      <c r="N28" s="1"/>
      <c r="O28" s="1"/>
      <c r="P28" s="1"/>
      <c r="Q28" s="1"/>
      <c r="R28" s="1"/>
      <c r="S28" s="1"/>
      <c r="T28" s="1"/>
      <c r="U28" s="1"/>
      <c r="V28" s="1"/>
    </row>
    <row r="29" spans="1:31" ht="15" customHeight="1">
      <c r="A29" s="1"/>
      <c r="B29" s="1"/>
      <c r="I29" s="1"/>
      <c r="J29" s="1"/>
      <c r="K29" s="1"/>
      <c r="L29" s="1"/>
      <c r="M29" s="1"/>
      <c r="N29" s="1"/>
      <c r="O29" s="1"/>
      <c r="P29" s="1"/>
      <c r="Q29" s="1"/>
      <c r="R29" s="1"/>
      <c r="S29" s="1"/>
      <c r="T29" s="1"/>
      <c r="U29" s="1"/>
      <c r="V29" s="1"/>
    </row>
    <row r="30" spans="1:31" ht="15" customHeight="1">
      <c r="A30" s="1"/>
      <c r="B30" s="1"/>
      <c r="I30" s="1"/>
      <c r="J30" s="1"/>
      <c r="K30" s="1"/>
      <c r="L30" s="1"/>
      <c r="M30" s="1"/>
      <c r="N30" s="1"/>
      <c r="O30" s="1"/>
      <c r="P30" s="1"/>
      <c r="Q30" s="1"/>
      <c r="R30" s="1"/>
      <c r="S30" s="1"/>
      <c r="T30" s="1"/>
      <c r="U30" s="1"/>
      <c r="V30" s="1"/>
    </row>
    <row r="31" spans="1:31" ht="15" customHeight="1">
      <c r="A31" s="1"/>
      <c r="B31" s="1"/>
      <c r="I31" s="1"/>
      <c r="J31" s="1"/>
      <c r="K31" s="1"/>
      <c r="L31" s="1"/>
      <c r="M31" s="1"/>
      <c r="N31" s="1"/>
      <c r="O31" s="1"/>
      <c r="P31" s="1"/>
      <c r="Q31" s="1"/>
      <c r="R31" s="1"/>
      <c r="S31" s="1"/>
      <c r="T31" s="1"/>
      <c r="U31" s="1"/>
      <c r="V31" s="1"/>
    </row>
    <row r="32" spans="1:31" ht="15" customHeight="1">
      <c r="A32" s="1"/>
      <c r="B32" s="1"/>
      <c r="I32" s="1"/>
      <c r="J32" s="1"/>
      <c r="K32" s="1"/>
      <c r="L32" s="1"/>
      <c r="M32" s="1"/>
      <c r="N32" s="1"/>
      <c r="O32" s="1"/>
      <c r="P32" s="1"/>
      <c r="Q32" s="1"/>
      <c r="R32" s="1"/>
      <c r="S32" s="1"/>
      <c r="T32" s="1"/>
      <c r="U32" s="1"/>
      <c r="V32" s="1"/>
    </row>
    <row r="33" spans="1:22" ht="15" customHeight="1">
      <c r="A33" s="1"/>
      <c r="B33" s="1"/>
      <c r="I33" s="1"/>
      <c r="J33" s="1"/>
      <c r="K33" s="1"/>
      <c r="L33" s="1"/>
      <c r="M33" s="1"/>
      <c r="N33" s="1"/>
      <c r="O33" s="1"/>
      <c r="P33" s="1"/>
      <c r="Q33" s="1"/>
      <c r="R33" s="1"/>
      <c r="S33" s="1"/>
      <c r="T33" s="1"/>
      <c r="U33" s="1"/>
      <c r="V33" s="1"/>
    </row>
    <row r="34" spans="1:22" ht="15" customHeight="1">
      <c r="A34" s="1"/>
      <c r="B34" s="1"/>
      <c r="I34" s="1"/>
      <c r="J34" s="1"/>
      <c r="K34" s="1"/>
      <c r="L34" s="1"/>
      <c r="M34" s="1"/>
      <c r="N34" s="1"/>
      <c r="O34" s="1"/>
      <c r="P34" s="1"/>
      <c r="Q34" s="1"/>
      <c r="R34" s="1"/>
      <c r="S34" s="1"/>
      <c r="T34" s="1"/>
      <c r="U34" s="1"/>
      <c r="V34" s="1"/>
    </row>
    <row r="35" spans="1:22" ht="15" customHeight="1">
      <c r="A35" s="1"/>
      <c r="B35" s="1"/>
      <c r="I35" s="1"/>
      <c r="J35" s="1"/>
      <c r="K35" s="1"/>
      <c r="L35" s="1"/>
      <c r="M35" s="1"/>
      <c r="N35" s="1"/>
      <c r="O35" s="1"/>
      <c r="P35" s="1"/>
      <c r="Q35" s="1"/>
      <c r="R35" s="1"/>
      <c r="S35" s="1"/>
      <c r="T35" s="1"/>
      <c r="U35" s="1"/>
      <c r="V35" s="1"/>
    </row>
    <row r="36" spans="1:22" ht="15" customHeight="1">
      <c r="A36" s="1"/>
      <c r="B36" s="1"/>
      <c r="I36" s="1"/>
      <c r="J36" s="1"/>
      <c r="K36" s="1"/>
      <c r="L36" s="1"/>
      <c r="M36" s="1"/>
      <c r="N36" s="1"/>
      <c r="O36" s="1"/>
      <c r="P36" s="1"/>
      <c r="Q36" s="1"/>
      <c r="R36" s="1"/>
      <c r="S36" s="1"/>
      <c r="T36" s="1"/>
      <c r="U36" s="1"/>
      <c r="V36" s="1"/>
    </row>
    <row r="37" spans="1:22" ht="15" customHeight="1">
      <c r="A37" s="1"/>
      <c r="B37" s="1"/>
      <c r="C37" s="1"/>
      <c r="D37" s="1"/>
      <c r="E37" s="1"/>
      <c r="F37" s="1"/>
      <c r="G37" s="1"/>
      <c r="H37" s="1"/>
      <c r="I37" s="1"/>
      <c r="J37" s="1"/>
      <c r="K37" s="1"/>
      <c r="L37" s="1"/>
      <c r="M37" s="1"/>
      <c r="N37" s="1"/>
      <c r="O37" s="1"/>
      <c r="P37" s="1"/>
      <c r="Q37" s="1"/>
      <c r="R37" s="1"/>
      <c r="S37" s="1"/>
      <c r="T37" s="1"/>
      <c r="U37" s="1"/>
      <c r="V37" s="1"/>
    </row>
    <row r="38" spans="1:22" ht="15" customHeight="1">
      <c r="A38" s="1"/>
      <c r="B38" s="1"/>
      <c r="C38" s="1"/>
      <c r="D38" s="1"/>
      <c r="E38" s="1"/>
      <c r="F38" s="1"/>
      <c r="G38" s="1"/>
      <c r="H38" s="1"/>
      <c r="I38" s="1"/>
      <c r="J38" s="1"/>
      <c r="K38" s="1"/>
      <c r="L38" s="1"/>
      <c r="M38" s="1"/>
      <c r="N38" s="1"/>
      <c r="O38" s="1"/>
      <c r="P38" s="1"/>
      <c r="Q38" s="1"/>
      <c r="R38" s="1"/>
      <c r="S38" s="1"/>
      <c r="T38" s="1"/>
      <c r="U38" s="1"/>
      <c r="V38" s="1"/>
    </row>
    <row r="39" spans="1:22" ht="15" customHeight="1">
      <c r="A39" s="1"/>
      <c r="B39" s="1"/>
      <c r="C39" s="1"/>
      <c r="D39" s="1"/>
      <c r="E39" s="1"/>
      <c r="F39" s="1"/>
      <c r="G39" s="1"/>
      <c r="H39" s="1"/>
      <c r="I39" s="1"/>
      <c r="J39" s="1"/>
      <c r="K39" s="1"/>
      <c r="L39" s="1"/>
      <c r="M39" s="1"/>
      <c r="N39" s="1"/>
      <c r="O39" s="1"/>
      <c r="P39" s="1"/>
      <c r="Q39" s="1"/>
      <c r="R39" s="1"/>
      <c r="S39" s="1"/>
      <c r="T39" s="1"/>
      <c r="U39" s="1"/>
      <c r="V39" s="1"/>
    </row>
    <row r="40" spans="1:22" ht="15" customHeight="1">
      <c r="A40" s="1"/>
      <c r="B40" s="1"/>
      <c r="C40" s="1"/>
      <c r="D40" s="1"/>
      <c r="E40" s="1"/>
      <c r="F40" s="1"/>
      <c r="G40" s="1"/>
      <c r="H40" s="1"/>
      <c r="I40" s="1"/>
      <c r="J40" s="1"/>
      <c r="K40" s="1"/>
      <c r="L40" s="1"/>
      <c r="M40" s="1"/>
      <c r="N40" s="1"/>
      <c r="O40" s="1"/>
      <c r="P40" s="1"/>
      <c r="Q40" s="1"/>
      <c r="R40" s="1"/>
      <c r="S40" s="1"/>
      <c r="T40" s="1"/>
      <c r="U40" s="1"/>
      <c r="V40" s="1"/>
    </row>
    <row r="41" spans="1:22" ht="15" customHeight="1">
      <c r="A41" s="1"/>
      <c r="B41" s="1"/>
      <c r="C41" s="1"/>
      <c r="D41" s="1"/>
      <c r="E41" s="1"/>
      <c r="F41" s="1"/>
      <c r="G41" s="1"/>
      <c r="H41" s="1"/>
      <c r="I41" s="1"/>
      <c r="J41" s="1"/>
      <c r="K41" s="1"/>
      <c r="L41" s="1"/>
      <c r="M41" s="1"/>
      <c r="N41" s="1"/>
      <c r="O41" s="1"/>
      <c r="P41" s="1"/>
      <c r="Q41" s="1"/>
      <c r="R41" s="1"/>
      <c r="S41" s="1"/>
      <c r="T41" s="1"/>
      <c r="U41" s="1"/>
      <c r="V41" s="1"/>
    </row>
    <row r="42" spans="1:22" ht="15" customHeight="1">
      <c r="A42" s="1"/>
      <c r="B42" s="1"/>
      <c r="C42" s="1"/>
      <c r="D42" s="1"/>
      <c r="E42" s="1"/>
      <c r="F42" s="1"/>
      <c r="G42" s="1"/>
      <c r="H42" s="1"/>
      <c r="I42" s="1"/>
      <c r="J42" s="1"/>
      <c r="K42" s="1"/>
      <c r="L42" s="1"/>
      <c r="M42" s="1"/>
      <c r="N42" s="1"/>
      <c r="O42" s="1"/>
      <c r="P42" s="1"/>
      <c r="Q42" s="1"/>
      <c r="R42" s="1"/>
      <c r="S42" s="1"/>
      <c r="T42" s="1"/>
      <c r="U42" s="1"/>
      <c r="V42" s="1"/>
    </row>
    <row r="43" spans="1:22" ht="15" customHeight="1">
      <c r="A43" s="1"/>
      <c r="B43" s="1"/>
      <c r="C43" s="1"/>
      <c r="D43" s="1"/>
      <c r="E43" s="1"/>
      <c r="F43" s="1"/>
      <c r="G43" s="1"/>
      <c r="H43" s="1"/>
      <c r="I43" s="1"/>
      <c r="J43" s="1"/>
      <c r="K43" s="1"/>
      <c r="L43" s="1"/>
      <c r="M43" s="1"/>
      <c r="N43" s="1"/>
      <c r="O43" s="1"/>
      <c r="P43" s="1"/>
      <c r="Q43" s="1"/>
      <c r="R43" s="1"/>
      <c r="S43" s="1"/>
      <c r="T43" s="1"/>
      <c r="U43" s="1"/>
      <c r="V43" s="1"/>
    </row>
    <row r="44" spans="1:22" ht="15" customHeight="1">
      <c r="A44" s="1"/>
      <c r="B44" s="1"/>
      <c r="C44" s="1"/>
      <c r="D44" s="1"/>
      <c r="E44" s="1"/>
      <c r="F44" s="1"/>
      <c r="G44" s="1"/>
      <c r="H44" s="1"/>
      <c r="I44" s="1"/>
      <c r="J44" s="1"/>
      <c r="K44" s="1"/>
      <c r="L44" s="1"/>
      <c r="M44" s="1"/>
      <c r="N44" s="1"/>
      <c r="O44" s="1"/>
      <c r="P44" s="1"/>
      <c r="Q44" s="1"/>
      <c r="R44" s="1"/>
      <c r="S44" s="1"/>
      <c r="T44" s="1"/>
      <c r="U44" s="1"/>
      <c r="V44" s="1"/>
    </row>
    <row r="45" spans="1:22" ht="15" customHeight="1">
      <c r="A45" s="1"/>
      <c r="B45" s="1"/>
      <c r="C45" s="1"/>
      <c r="D45" s="1"/>
      <c r="E45" s="1"/>
      <c r="F45" s="1"/>
      <c r="G45" s="1"/>
      <c r="H45" s="1"/>
      <c r="I45" s="1"/>
      <c r="J45" s="1"/>
      <c r="K45" s="1"/>
      <c r="L45" s="1"/>
      <c r="M45" s="1"/>
      <c r="N45" s="1"/>
      <c r="O45" s="1"/>
      <c r="P45" s="1"/>
      <c r="Q45" s="1"/>
      <c r="R45" s="1"/>
      <c r="S45" s="1"/>
      <c r="T45" s="1"/>
      <c r="U45" s="1"/>
      <c r="V45" s="1"/>
    </row>
    <row r="46" spans="1:22" ht="15" customHeight="1">
      <c r="A46" s="1"/>
      <c r="B46" s="1"/>
      <c r="C46" s="1"/>
      <c r="D46" s="1"/>
      <c r="E46" s="1"/>
      <c r="F46" s="1"/>
      <c r="G46" s="1"/>
      <c r="H46" s="1"/>
      <c r="I46" s="1"/>
      <c r="J46" s="1"/>
      <c r="K46" s="1"/>
      <c r="L46" s="1"/>
      <c r="M46" s="1"/>
      <c r="N46" s="1"/>
      <c r="O46" s="1"/>
      <c r="P46" s="1"/>
      <c r="Q46" s="1"/>
      <c r="R46" s="1"/>
      <c r="S46" s="1"/>
      <c r="T46" s="1"/>
      <c r="U46" s="1"/>
      <c r="V46" s="1"/>
    </row>
    <row r="47" spans="1:22" ht="15" customHeight="1">
      <c r="A47" s="1"/>
      <c r="B47" s="1"/>
      <c r="C47" s="1"/>
      <c r="D47" s="1"/>
      <c r="E47" s="1"/>
      <c r="F47" s="1"/>
      <c r="G47" s="1"/>
      <c r="H47" s="1"/>
      <c r="I47" s="1"/>
      <c r="J47" s="1"/>
      <c r="K47" s="1"/>
      <c r="L47" s="1"/>
      <c r="M47" s="1"/>
      <c r="N47" s="1"/>
      <c r="O47" s="1"/>
      <c r="P47" s="1"/>
      <c r="Q47" s="1"/>
      <c r="R47" s="1"/>
      <c r="S47" s="1"/>
      <c r="T47" s="1"/>
      <c r="U47" s="1"/>
      <c r="V47" s="1"/>
    </row>
    <row r="48" spans="1:22" ht="15" customHeight="1">
      <c r="A48" s="1"/>
      <c r="B48" s="1"/>
      <c r="C48" s="1"/>
      <c r="D48" s="1"/>
      <c r="E48" s="1"/>
      <c r="F48" s="1"/>
      <c r="G48" s="1"/>
      <c r="H48" s="1"/>
      <c r="I48" s="1"/>
      <c r="J48" s="1"/>
      <c r="K48" s="1"/>
      <c r="L48" s="1"/>
      <c r="M48" s="1"/>
      <c r="N48" s="1"/>
      <c r="O48" s="1"/>
      <c r="P48" s="1"/>
      <c r="Q48" s="1"/>
      <c r="R48" s="1"/>
      <c r="S48" s="1"/>
      <c r="T48" s="1"/>
      <c r="U48" s="1"/>
      <c r="V48" s="1"/>
    </row>
    <row r="49" spans="1:22" ht="15" customHeight="1">
      <c r="A49" s="1"/>
      <c r="B49" s="1"/>
      <c r="C49" s="1"/>
      <c r="D49" s="1"/>
      <c r="E49" s="1"/>
      <c r="F49" s="1"/>
      <c r="G49" s="1"/>
      <c r="H49" s="1"/>
      <c r="I49" s="1"/>
      <c r="J49" s="1"/>
      <c r="K49" s="1"/>
      <c r="L49" s="1"/>
      <c r="M49" s="1"/>
      <c r="N49" s="1"/>
      <c r="O49" s="1"/>
      <c r="P49" s="1"/>
      <c r="Q49" s="1"/>
      <c r="R49" s="1"/>
      <c r="S49" s="1"/>
      <c r="T49" s="1"/>
      <c r="U49" s="1"/>
      <c r="V49" s="1"/>
    </row>
    <row r="50" spans="1:22" ht="15" customHeight="1">
      <c r="A50" s="1"/>
      <c r="B50" s="1"/>
      <c r="C50" s="1"/>
      <c r="D50" s="1"/>
      <c r="E50" s="1"/>
      <c r="F50" s="1"/>
      <c r="G50" s="1"/>
      <c r="H50" s="1"/>
      <c r="I50" s="1"/>
      <c r="J50" s="1"/>
      <c r="K50" s="1"/>
      <c r="L50" s="1"/>
      <c r="M50" s="1"/>
      <c r="N50" s="1"/>
      <c r="O50" s="1"/>
      <c r="P50" s="1"/>
      <c r="Q50" s="1"/>
      <c r="R50" s="1"/>
      <c r="S50" s="1"/>
      <c r="T50" s="1"/>
      <c r="U50" s="1"/>
      <c r="V50" s="1"/>
    </row>
    <row r="51" spans="1:22" ht="15" customHeight="1">
      <c r="A51" s="1"/>
      <c r="B51" s="1"/>
      <c r="C51" s="1"/>
      <c r="D51" s="1"/>
      <c r="E51" s="1"/>
      <c r="F51" s="1"/>
      <c r="G51" s="1"/>
      <c r="H51" s="1"/>
      <c r="I51" s="1"/>
      <c r="J51" s="1"/>
      <c r="K51" s="1"/>
      <c r="L51" s="1"/>
      <c r="M51" s="1"/>
      <c r="N51" s="1"/>
      <c r="O51" s="1"/>
      <c r="P51" s="1"/>
      <c r="Q51" s="1"/>
      <c r="R51" s="1"/>
      <c r="S51" s="1"/>
      <c r="T51" s="1"/>
      <c r="U51" s="1"/>
      <c r="V51" s="1"/>
    </row>
    <row r="52" spans="1:22" ht="15" customHeight="1">
      <c r="A52" s="1"/>
      <c r="B52" s="1"/>
      <c r="C52" s="1"/>
      <c r="D52" s="1"/>
      <c r="E52" s="1"/>
      <c r="F52" s="1"/>
      <c r="G52" s="1"/>
      <c r="H52" s="1"/>
      <c r="I52" s="1"/>
      <c r="J52" s="1"/>
      <c r="K52" s="1"/>
      <c r="L52" s="1"/>
      <c r="M52" s="1"/>
      <c r="N52" s="1"/>
      <c r="O52" s="1"/>
      <c r="P52" s="1"/>
      <c r="Q52" s="1"/>
      <c r="R52" s="1"/>
      <c r="S52" s="1"/>
      <c r="T52" s="1"/>
      <c r="U52" s="1"/>
      <c r="V52" s="1"/>
    </row>
    <row r="53" spans="1:22" ht="15" customHeight="1">
      <c r="A53" s="1"/>
      <c r="B53" s="1"/>
      <c r="C53" s="1"/>
      <c r="D53" s="1"/>
      <c r="E53" s="1"/>
      <c r="F53" s="1"/>
      <c r="G53" s="1"/>
      <c r="H53" s="1"/>
      <c r="I53" s="1"/>
      <c r="J53" s="1"/>
      <c r="K53" s="1"/>
      <c r="L53" s="1"/>
      <c r="M53" s="1"/>
      <c r="N53" s="1"/>
      <c r="O53" s="1"/>
      <c r="P53" s="1"/>
      <c r="Q53" s="1"/>
      <c r="R53" s="1"/>
      <c r="S53" s="1"/>
      <c r="T53" s="1"/>
      <c r="U53" s="1"/>
      <c r="V53" s="1"/>
    </row>
    <row r="54" spans="1:22">
      <c r="A54" s="1"/>
      <c r="B54" s="1"/>
      <c r="C54" s="1"/>
      <c r="D54" s="1"/>
      <c r="E54" s="1"/>
      <c r="F54" s="1"/>
      <c r="G54" s="1"/>
      <c r="H54" s="1"/>
      <c r="I54" s="1"/>
      <c r="J54" s="1"/>
      <c r="K54" s="1"/>
      <c r="L54" s="1"/>
      <c r="M54" s="1"/>
      <c r="N54" s="1"/>
      <c r="O54" s="1"/>
      <c r="P54" s="1"/>
      <c r="Q54" s="1"/>
      <c r="R54" s="1"/>
      <c r="S54" s="1"/>
      <c r="T54" s="1"/>
      <c r="U54" s="1"/>
      <c r="V54" s="1"/>
    </row>
    <row r="55" spans="1:22">
      <c r="A55" s="1"/>
      <c r="B55" s="1"/>
      <c r="C55" s="1"/>
      <c r="D55" s="1"/>
      <c r="E55" s="1"/>
      <c r="F55" s="1"/>
      <c r="G55" s="1"/>
      <c r="H55" s="1"/>
      <c r="I55" s="1"/>
      <c r="J55" s="1"/>
      <c r="K55" s="1"/>
      <c r="L55" s="1"/>
      <c r="M55" s="1"/>
      <c r="N55" s="1"/>
      <c r="O55" s="1"/>
      <c r="P55" s="1"/>
      <c r="Q55" s="1"/>
      <c r="R55" s="1"/>
      <c r="S55" s="1"/>
      <c r="T55" s="1"/>
      <c r="U55" s="1"/>
      <c r="V55" s="1"/>
    </row>
    <row r="56" spans="1:22">
      <c r="A56" s="1"/>
      <c r="B56" s="1"/>
      <c r="C56" s="1"/>
      <c r="D56" s="1"/>
      <c r="E56" s="1"/>
      <c r="F56" s="1"/>
      <c r="G56" s="1"/>
      <c r="H56" s="1"/>
      <c r="I56" s="1"/>
      <c r="J56" s="1"/>
      <c r="K56" s="1"/>
      <c r="L56" s="1"/>
      <c r="M56" s="1"/>
      <c r="N56" s="1"/>
      <c r="O56" s="1"/>
      <c r="P56" s="1"/>
      <c r="Q56" s="1"/>
      <c r="R56" s="1"/>
      <c r="S56" s="1"/>
      <c r="T56" s="1"/>
      <c r="U56" s="1"/>
      <c r="V56" s="1"/>
    </row>
    <row r="57" spans="1:22">
      <c r="A57" s="1"/>
      <c r="B57" s="1"/>
      <c r="C57" s="1"/>
      <c r="D57" s="1"/>
      <c r="E57" s="1"/>
      <c r="F57" s="1"/>
      <c r="G57" s="1"/>
      <c r="H57" s="1"/>
      <c r="I57" s="1"/>
      <c r="J57" s="1"/>
      <c r="K57" s="1"/>
      <c r="L57" s="1"/>
      <c r="M57" s="1"/>
      <c r="N57" s="1"/>
      <c r="O57" s="1"/>
      <c r="P57" s="1"/>
      <c r="Q57" s="1"/>
      <c r="R57" s="1"/>
      <c r="S57" s="1"/>
      <c r="T57" s="1"/>
      <c r="U57" s="1"/>
      <c r="V57" s="1"/>
    </row>
    <row r="58" spans="1:22">
      <c r="A58" s="1"/>
      <c r="B58" s="1"/>
      <c r="C58" s="1"/>
      <c r="D58" s="1"/>
      <c r="E58" s="1"/>
      <c r="F58" s="1"/>
      <c r="G58" s="1"/>
      <c r="H58" s="1"/>
      <c r="I58" s="1"/>
      <c r="J58" s="1"/>
      <c r="K58" s="1"/>
      <c r="L58" s="1"/>
      <c r="M58" s="1"/>
      <c r="N58" s="1"/>
      <c r="O58" s="1"/>
      <c r="P58" s="1"/>
      <c r="Q58" s="1"/>
      <c r="R58" s="1"/>
      <c r="S58" s="1"/>
      <c r="T58" s="1"/>
      <c r="U58" s="1"/>
      <c r="V58" s="1"/>
    </row>
    <row r="59" spans="1:22">
      <c r="A59" s="1"/>
      <c r="B59" s="1"/>
      <c r="C59" s="1"/>
      <c r="D59" s="1"/>
      <c r="E59" s="1"/>
      <c r="F59" s="1"/>
      <c r="G59" s="1"/>
      <c r="H59" s="1"/>
      <c r="I59" s="1"/>
      <c r="J59" s="1"/>
      <c r="K59" s="1"/>
      <c r="L59" s="1"/>
      <c r="M59" s="1"/>
      <c r="N59" s="1"/>
      <c r="O59" s="1"/>
      <c r="P59" s="1"/>
      <c r="Q59" s="1"/>
      <c r="R59" s="1"/>
      <c r="S59" s="1"/>
      <c r="T59" s="1"/>
      <c r="U59" s="1"/>
      <c r="V59" s="1"/>
    </row>
    <row r="60" spans="1:22">
      <c r="A60" s="1"/>
      <c r="B60" s="1"/>
      <c r="C60" s="1"/>
      <c r="D60" s="1"/>
      <c r="E60" s="1"/>
      <c r="F60" s="1"/>
      <c r="G60" s="1"/>
      <c r="H60" s="1"/>
      <c r="I60" s="1"/>
      <c r="J60" s="1"/>
      <c r="K60" s="1"/>
      <c r="L60" s="1"/>
      <c r="M60" s="1"/>
      <c r="N60" s="1"/>
      <c r="O60" s="1"/>
      <c r="P60" s="1"/>
      <c r="Q60" s="1"/>
      <c r="R60" s="1"/>
      <c r="S60" s="1"/>
      <c r="T60" s="1"/>
      <c r="U60" s="1"/>
      <c r="V60" s="1"/>
    </row>
    <row r="61" spans="1:22">
      <c r="A61" s="1"/>
      <c r="B61" s="1"/>
      <c r="C61" s="1"/>
      <c r="D61" s="1"/>
      <c r="E61" s="1"/>
      <c r="F61" s="1"/>
      <c r="G61" s="1"/>
      <c r="H61" s="1"/>
      <c r="I61" s="1"/>
      <c r="J61" s="1"/>
      <c r="K61" s="1"/>
      <c r="L61" s="1"/>
      <c r="M61" s="1"/>
      <c r="N61" s="1"/>
      <c r="O61" s="1"/>
      <c r="P61" s="1"/>
      <c r="Q61" s="1"/>
      <c r="R61" s="1"/>
      <c r="S61" s="1"/>
      <c r="T61" s="1"/>
      <c r="U61" s="1"/>
      <c r="V61" s="1"/>
    </row>
    <row r="62" spans="1:22">
      <c r="A62" s="1"/>
      <c r="B62" s="1"/>
      <c r="C62" s="1"/>
      <c r="D62" s="1"/>
      <c r="E62" s="1"/>
      <c r="F62" s="1"/>
      <c r="G62" s="1"/>
      <c r="H62" s="1"/>
      <c r="I62" s="1"/>
      <c r="J62" s="1"/>
      <c r="K62" s="1"/>
      <c r="L62" s="1"/>
      <c r="M62" s="1"/>
      <c r="N62" s="1"/>
      <c r="O62" s="1"/>
      <c r="P62" s="1"/>
      <c r="Q62" s="1"/>
      <c r="R62" s="1"/>
      <c r="S62" s="1"/>
      <c r="T62" s="1"/>
      <c r="U62" s="1"/>
      <c r="V62" s="1"/>
    </row>
    <row r="63" spans="1:22">
      <c r="A63" s="1"/>
      <c r="B63" s="1"/>
      <c r="C63" s="1"/>
      <c r="D63" s="1"/>
      <c r="E63" s="1"/>
      <c r="F63" s="1"/>
      <c r="G63" s="1"/>
      <c r="H63" s="1"/>
      <c r="I63" s="1"/>
      <c r="J63" s="1"/>
      <c r="K63" s="1"/>
      <c r="L63" s="1"/>
      <c r="M63" s="1"/>
      <c r="N63" s="1"/>
      <c r="O63" s="1"/>
      <c r="P63" s="1"/>
      <c r="Q63" s="1"/>
      <c r="R63" s="1"/>
      <c r="S63" s="1"/>
      <c r="T63" s="1"/>
      <c r="U63" s="1"/>
      <c r="V63" s="1"/>
    </row>
    <row r="64" spans="1:22">
      <c r="A64" s="1"/>
      <c r="B64" s="1"/>
      <c r="C64" s="1"/>
      <c r="D64" s="1"/>
      <c r="E64" s="1"/>
      <c r="F64" s="1"/>
      <c r="G64" s="1"/>
      <c r="H64" s="1"/>
      <c r="I64" s="1"/>
      <c r="J64" s="1"/>
      <c r="K64" s="1"/>
      <c r="L64" s="1"/>
      <c r="M64" s="1"/>
      <c r="N64" s="1"/>
      <c r="O64" s="1"/>
      <c r="P64" s="1"/>
      <c r="Q64" s="1"/>
      <c r="R64" s="1"/>
      <c r="S64" s="1"/>
      <c r="T64" s="1"/>
      <c r="U64" s="1"/>
      <c r="V64" s="1"/>
    </row>
    <row r="65" spans="1:22">
      <c r="A65" s="1"/>
      <c r="B65" s="1"/>
      <c r="C65" s="1"/>
      <c r="D65" s="1"/>
      <c r="E65" s="1"/>
      <c r="F65" s="1"/>
      <c r="G65" s="1"/>
      <c r="H65" s="1"/>
      <c r="I65" s="1"/>
      <c r="J65" s="1"/>
      <c r="K65" s="1"/>
      <c r="L65" s="1"/>
      <c r="M65" s="1"/>
      <c r="N65" s="1"/>
      <c r="O65" s="1"/>
      <c r="P65" s="1"/>
      <c r="Q65" s="1"/>
      <c r="R65" s="1"/>
      <c r="S65" s="1"/>
      <c r="T65" s="1"/>
      <c r="U65" s="1"/>
      <c r="V65" s="1"/>
    </row>
    <row r="66" spans="1:22">
      <c r="A66" s="1"/>
      <c r="B66" s="1"/>
      <c r="C66" s="1"/>
      <c r="D66" s="1"/>
      <c r="E66" s="1"/>
      <c r="F66" s="1"/>
      <c r="G66" s="1"/>
      <c r="H66" s="1"/>
      <c r="I66" s="1"/>
      <c r="J66" s="1"/>
      <c r="K66" s="1"/>
      <c r="L66" s="1"/>
      <c r="M66" s="1"/>
      <c r="N66" s="1"/>
      <c r="O66" s="1"/>
      <c r="P66" s="1"/>
      <c r="Q66" s="1"/>
      <c r="R66" s="1"/>
      <c r="S66" s="1"/>
      <c r="T66" s="1"/>
      <c r="U66" s="1"/>
      <c r="V66" s="1"/>
    </row>
    <row r="67" spans="1:22">
      <c r="A67" s="1"/>
      <c r="B67" s="1"/>
      <c r="C67" s="1"/>
      <c r="D67" s="1"/>
      <c r="E67" s="1"/>
      <c r="F67" s="1"/>
      <c r="G67" s="1"/>
      <c r="H67" s="1"/>
      <c r="I67" s="1"/>
      <c r="J67" s="1"/>
      <c r="K67" s="1"/>
      <c r="L67" s="1"/>
      <c r="M67" s="1"/>
      <c r="N67" s="1"/>
      <c r="O67" s="1"/>
      <c r="P67" s="1"/>
      <c r="Q67" s="1"/>
      <c r="R67" s="1"/>
      <c r="S67" s="1"/>
      <c r="T67" s="1"/>
      <c r="U67" s="1"/>
      <c r="V67" s="1"/>
    </row>
    <row r="68" spans="1:22">
      <c r="A68" s="1"/>
      <c r="B68" s="1"/>
      <c r="C68" s="1"/>
      <c r="D68" s="1"/>
      <c r="E68" s="1"/>
      <c r="F68" s="1"/>
      <c r="G68" s="1"/>
      <c r="H68" s="1"/>
      <c r="I68" s="1"/>
      <c r="J68" s="1"/>
      <c r="K68" s="1"/>
      <c r="L68" s="1"/>
      <c r="M68" s="1"/>
      <c r="N68" s="1"/>
      <c r="O68" s="1"/>
      <c r="P68" s="1"/>
      <c r="Q68" s="1"/>
      <c r="R68" s="1"/>
      <c r="S68" s="1"/>
      <c r="T68" s="1"/>
      <c r="U68" s="1"/>
      <c r="V68" s="1"/>
    </row>
    <row r="69" spans="1:22">
      <c r="A69" s="1"/>
      <c r="B69" s="1"/>
      <c r="C69" s="1"/>
      <c r="D69" s="1"/>
      <c r="E69" s="1"/>
      <c r="F69" s="1"/>
      <c r="G69" s="1"/>
      <c r="H69" s="1"/>
      <c r="I69" s="1"/>
      <c r="J69" s="1"/>
      <c r="K69" s="1"/>
      <c r="L69" s="1"/>
      <c r="M69" s="1"/>
      <c r="N69" s="1"/>
      <c r="O69" s="1"/>
      <c r="P69" s="1"/>
      <c r="Q69" s="1"/>
      <c r="R69" s="1"/>
      <c r="S69" s="1"/>
      <c r="T69" s="1"/>
      <c r="U69" s="1"/>
      <c r="V69" s="1"/>
    </row>
    <row r="70" spans="1:22">
      <c r="A70" s="1"/>
      <c r="B70" s="1"/>
      <c r="C70" s="1"/>
      <c r="D70" s="1"/>
      <c r="E70" s="1"/>
      <c r="F70" s="1"/>
      <c r="G70" s="1"/>
      <c r="H70" s="1"/>
      <c r="I70" s="1"/>
      <c r="J70" s="1"/>
      <c r="K70" s="1"/>
      <c r="L70" s="1"/>
      <c r="M70" s="1"/>
      <c r="N70" s="1"/>
      <c r="O70" s="1"/>
      <c r="P70" s="1"/>
      <c r="Q70" s="1"/>
      <c r="R70" s="1"/>
      <c r="S70" s="1"/>
      <c r="T70" s="1"/>
      <c r="U70" s="1"/>
      <c r="V70" s="1"/>
    </row>
    <row r="71" spans="1:22">
      <c r="A71" s="1"/>
      <c r="B71" s="1"/>
      <c r="C71" s="1"/>
      <c r="D71" s="1"/>
      <c r="E71" s="1"/>
      <c r="F71" s="1"/>
      <c r="G71" s="1"/>
      <c r="H71" s="1"/>
      <c r="I71" s="1"/>
      <c r="J71" s="1"/>
      <c r="K71" s="1"/>
      <c r="L71" s="1"/>
      <c r="M71" s="1"/>
      <c r="N71" s="1"/>
      <c r="O71" s="1"/>
      <c r="P71" s="1"/>
      <c r="Q71" s="1"/>
      <c r="R71" s="1"/>
      <c r="S71" s="1"/>
      <c r="T71" s="1"/>
      <c r="U71" s="1"/>
      <c r="V71" s="1"/>
    </row>
    <row r="72" spans="1:22">
      <c r="A72" s="1"/>
      <c r="B72" s="1"/>
      <c r="C72" s="1"/>
      <c r="D72" s="1"/>
      <c r="E72" s="1"/>
      <c r="F72" s="1"/>
      <c r="G72" s="1"/>
      <c r="H72" s="1"/>
      <c r="I72" s="1"/>
      <c r="J72" s="1"/>
      <c r="K72" s="1"/>
      <c r="L72" s="1"/>
      <c r="M72" s="1"/>
      <c r="N72" s="1"/>
      <c r="O72" s="1"/>
      <c r="P72" s="1"/>
      <c r="Q72" s="1"/>
      <c r="R72" s="1"/>
      <c r="S72" s="1"/>
      <c r="T72" s="1"/>
      <c r="U72" s="1"/>
      <c r="V72" s="1"/>
    </row>
    <row r="73" spans="1:22">
      <c r="A73" s="1"/>
      <c r="B73" s="1"/>
      <c r="C73" s="1"/>
      <c r="D73" s="1"/>
      <c r="E73" s="1"/>
      <c r="F73" s="1"/>
      <c r="G73" s="1"/>
      <c r="H73" s="1"/>
      <c r="I73" s="1"/>
      <c r="J73" s="1"/>
      <c r="K73" s="1"/>
      <c r="L73" s="1"/>
      <c r="M73" s="1"/>
      <c r="N73" s="1"/>
      <c r="O73" s="1"/>
      <c r="P73" s="1"/>
      <c r="Q73" s="1"/>
      <c r="R73" s="1"/>
      <c r="S73" s="1"/>
      <c r="T73" s="1"/>
      <c r="U73" s="1"/>
      <c r="V73" s="1"/>
    </row>
    <row r="74" spans="1:22">
      <c r="A74" s="1"/>
      <c r="B74" s="1"/>
      <c r="C74" s="1"/>
      <c r="D74" s="1"/>
      <c r="E74" s="1"/>
      <c r="F74" s="1"/>
      <c r="G74" s="1"/>
      <c r="H74" s="1"/>
      <c r="I74" s="1"/>
      <c r="J74" s="1"/>
      <c r="K74" s="1"/>
      <c r="L74" s="1"/>
      <c r="M74" s="1"/>
      <c r="N74" s="1"/>
      <c r="O74" s="1"/>
      <c r="P74" s="1"/>
      <c r="Q74" s="1"/>
      <c r="R74" s="1"/>
      <c r="S74" s="1"/>
      <c r="T74" s="1"/>
      <c r="U74" s="1"/>
      <c r="V74" s="1"/>
    </row>
    <row r="75" spans="1:22">
      <c r="A75" s="1"/>
      <c r="B75" s="1"/>
      <c r="C75" s="1"/>
      <c r="D75" s="1"/>
      <c r="E75" s="1"/>
      <c r="F75" s="1"/>
      <c r="G75" s="1"/>
      <c r="H75" s="1"/>
      <c r="I75" s="1"/>
      <c r="J75" s="1"/>
      <c r="K75" s="1"/>
      <c r="L75" s="1"/>
      <c r="M75" s="1"/>
      <c r="N75" s="1"/>
      <c r="O75" s="1"/>
      <c r="P75" s="1"/>
      <c r="Q75" s="1"/>
      <c r="R75" s="1"/>
      <c r="S75" s="1"/>
      <c r="T75" s="1"/>
      <c r="U75" s="1"/>
      <c r="V75" s="1"/>
    </row>
    <row r="76" spans="1:22">
      <c r="A76" s="1"/>
      <c r="B76" s="1"/>
      <c r="C76" s="1"/>
      <c r="D76" s="1"/>
      <c r="E76" s="1"/>
      <c r="F76" s="1"/>
      <c r="G76" s="1"/>
      <c r="H76" s="1"/>
      <c r="I76" s="1"/>
      <c r="J76" s="1"/>
      <c r="K76" s="1"/>
      <c r="L76" s="1"/>
      <c r="M76" s="1"/>
      <c r="N76" s="1"/>
      <c r="O76" s="1"/>
      <c r="P76" s="1"/>
      <c r="Q76" s="1"/>
      <c r="R76" s="1"/>
      <c r="S76" s="1"/>
      <c r="T76" s="1"/>
      <c r="U76" s="1"/>
      <c r="V76" s="1"/>
    </row>
    <row r="77" spans="1:22">
      <c r="A77" s="1"/>
      <c r="B77" s="1"/>
      <c r="C77" s="1"/>
      <c r="D77" s="1"/>
      <c r="E77" s="1"/>
      <c r="F77" s="1"/>
      <c r="G77" s="1"/>
      <c r="H77" s="1"/>
      <c r="I77" s="1"/>
      <c r="J77" s="1"/>
      <c r="K77" s="1"/>
      <c r="L77" s="1"/>
      <c r="M77" s="1"/>
      <c r="N77" s="1"/>
      <c r="O77" s="1"/>
      <c r="P77" s="1"/>
      <c r="Q77" s="1"/>
      <c r="R77" s="1"/>
      <c r="S77" s="1"/>
      <c r="T77" s="1"/>
      <c r="U77" s="1"/>
      <c r="V77" s="1"/>
    </row>
    <row r="78" spans="1:22">
      <c r="A78" s="1"/>
      <c r="B78" s="1"/>
      <c r="C78" s="1"/>
      <c r="D78" s="1"/>
      <c r="E78" s="1"/>
      <c r="F78" s="1"/>
      <c r="G78" s="1"/>
      <c r="H78" s="1"/>
      <c r="I78" s="1"/>
      <c r="J78" s="1"/>
      <c r="K78" s="1"/>
      <c r="L78" s="1"/>
      <c r="M78" s="1"/>
      <c r="N78" s="1"/>
      <c r="O78" s="1"/>
      <c r="P78" s="1"/>
      <c r="Q78" s="1"/>
      <c r="R78" s="1"/>
      <c r="S78" s="1"/>
      <c r="T78" s="1"/>
      <c r="U78" s="1"/>
      <c r="V78" s="1"/>
    </row>
    <row r="79" spans="1:22">
      <c r="A79" s="1"/>
      <c r="B79" s="1"/>
      <c r="C79" s="1"/>
      <c r="D79" s="1"/>
      <c r="E79" s="1"/>
      <c r="F79" s="1"/>
      <c r="G79" s="1"/>
      <c r="H79" s="1"/>
      <c r="I79" s="1"/>
      <c r="J79" s="1"/>
      <c r="K79" s="1"/>
      <c r="L79" s="1"/>
      <c r="M79" s="1"/>
      <c r="N79" s="1"/>
      <c r="O79" s="1"/>
      <c r="P79" s="1"/>
      <c r="Q79" s="1"/>
      <c r="R79" s="1"/>
      <c r="S79" s="1"/>
      <c r="T79" s="1"/>
      <c r="U79" s="1"/>
      <c r="V79" s="1"/>
    </row>
    <row r="80" spans="1:22">
      <c r="A80" s="1"/>
      <c r="B80" s="1"/>
      <c r="C80" s="1"/>
      <c r="D80" s="1"/>
      <c r="E80" s="1"/>
      <c r="F80" s="1"/>
      <c r="G80" s="1"/>
      <c r="H80" s="1"/>
      <c r="I80" s="1"/>
      <c r="J80" s="1"/>
      <c r="K80" s="1"/>
      <c r="L80" s="1"/>
      <c r="M80" s="1"/>
      <c r="N80" s="1"/>
      <c r="O80" s="1"/>
      <c r="P80" s="1"/>
      <c r="Q80" s="1"/>
      <c r="R80" s="1"/>
      <c r="S80" s="1"/>
      <c r="T80" s="1"/>
      <c r="U80" s="1"/>
      <c r="V80" s="1"/>
    </row>
    <row r="81" spans="1:22">
      <c r="A81" s="1"/>
      <c r="B81" s="1"/>
      <c r="C81" s="1"/>
      <c r="D81" s="1"/>
      <c r="E81" s="1"/>
      <c r="F81" s="1"/>
      <c r="G81" s="1"/>
      <c r="H81" s="1"/>
      <c r="I81" s="1"/>
      <c r="J81" s="1"/>
      <c r="K81" s="1"/>
      <c r="L81" s="1"/>
      <c r="M81" s="1"/>
      <c r="N81" s="1"/>
      <c r="O81" s="1"/>
      <c r="P81" s="1"/>
      <c r="Q81" s="1"/>
      <c r="R81" s="1"/>
      <c r="S81" s="1"/>
      <c r="T81" s="1"/>
      <c r="U81" s="1"/>
      <c r="V81" s="1"/>
    </row>
    <row r="82" spans="1:22">
      <c r="A82" s="1"/>
      <c r="B82" s="1"/>
      <c r="C82" s="1"/>
      <c r="D82" s="1"/>
      <c r="E82" s="1"/>
      <c r="F82" s="1"/>
      <c r="G82" s="1"/>
      <c r="H82" s="1"/>
      <c r="I82" s="1"/>
      <c r="J82" s="1"/>
      <c r="K82" s="1"/>
      <c r="L82" s="1"/>
      <c r="M82" s="1"/>
      <c r="N82" s="1"/>
      <c r="O82" s="1"/>
      <c r="P82" s="1"/>
      <c r="Q82" s="1"/>
      <c r="R82" s="1"/>
      <c r="S82" s="1"/>
      <c r="T82" s="1"/>
      <c r="U82" s="1"/>
      <c r="V82" s="1"/>
    </row>
    <row r="83" spans="1:22">
      <c r="A83" s="1"/>
      <c r="B83" s="1"/>
      <c r="C83" s="1"/>
      <c r="D83" s="1"/>
      <c r="E83" s="1"/>
      <c r="F83" s="1"/>
      <c r="G83" s="1"/>
      <c r="H83" s="1"/>
      <c r="I83" s="1"/>
      <c r="J83" s="1"/>
      <c r="K83" s="1"/>
      <c r="L83" s="1"/>
      <c r="M83" s="1"/>
      <c r="N83" s="1"/>
      <c r="O83" s="1"/>
      <c r="P83" s="1"/>
      <c r="Q83" s="1"/>
      <c r="R83" s="1"/>
      <c r="S83" s="1"/>
      <c r="T83" s="1"/>
      <c r="U83" s="1"/>
      <c r="V83" s="1"/>
    </row>
    <row r="84" spans="1:22">
      <c r="A84" s="1"/>
      <c r="B84" s="1"/>
      <c r="C84" s="1"/>
      <c r="D84" s="1"/>
      <c r="E84" s="1"/>
      <c r="F84" s="1"/>
      <c r="G84" s="1"/>
      <c r="H84" s="1"/>
      <c r="I84" s="1"/>
      <c r="J84" s="1"/>
      <c r="K84" s="1"/>
      <c r="L84" s="1"/>
      <c r="M84" s="1"/>
      <c r="N84" s="1"/>
      <c r="O84" s="1"/>
      <c r="P84" s="1"/>
      <c r="Q84" s="1"/>
      <c r="R84" s="1"/>
      <c r="S84" s="1"/>
      <c r="T84" s="1"/>
      <c r="U84" s="1"/>
      <c r="V84" s="1"/>
    </row>
    <row r="85" spans="1:22">
      <c r="A85" s="1"/>
      <c r="B85" s="1"/>
      <c r="C85" s="1"/>
      <c r="D85" s="1"/>
      <c r="E85" s="1"/>
      <c r="F85" s="1"/>
      <c r="G85" s="1"/>
      <c r="H85" s="1"/>
      <c r="I85" s="1"/>
      <c r="J85" s="1"/>
      <c r="K85" s="1"/>
      <c r="L85" s="1"/>
      <c r="M85" s="1"/>
      <c r="N85" s="1"/>
      <c r="O85" s="1"/>
      <c r="P85" s="1"/>
      <c r="Q85" s="1"/>
      <c r="R85" s="1"/>
      <c r="S85" s="1"/>
      <c r="T85" s="1"/>
      <c r="U85" s="1"/>
      <c r="V85" s="1"/>
    </row>
    <row r="86" spans="1:22">
      <c r="A86" s="1"/>
      <c r="B86" s="1"/>
      <c r="C86" s="1"/>
      <c r="D86" s="1"/>
      <c r="E86" s="1"/>
      <c r="F86" s="1"/>
      <c r="G86" s="1"/>
      <c r="H86" s="1"/>
      <c r="I86" s="1"/>
      <c r="J86" s="1"/>
      <c r="K86" s="1"/>
      <c r="L86" s="1"/>
      <c r="M86" s="1"/>
      <c r="N86" s="1"/>
      <c r="O86" s="1"/>
      <c r="P86" s="1"/>
      <c r="Q86" s="1"/>
      <c r="R86" s="1"/>
      <c r="S86" s="1"/>
      <c r="T86" s="1"/>
      <c r="U86" s="1"/>
      <c r="V86" s="1"/>
    </row>
    <row r="87" spans="1:22">
      <c r="A87" s="1"/>
      <c r="B87" s="1"/>
      <c r="C87" s="1"/>
      <c r="D87" s="1"/>
      <c r="E87" s="1"/>
      <c r="F87" s="1"/>
      <c r="G87" s="1"/>
      <c r="H87" s="1"/>
      <c r="I87" s="1"/>
      <c r="J87" s="1"/>
      <c r="K87" s="1"/>
      <c r="L87" s="1"/>
      <c r="M87" s="1"/>
      <c r="N87" s="1"/>
      <c r="O87" s="1"/>
      <c r="P87" s="1"/>
      <c r="Q87" s="1"/>
      <c r="R87" s="1"/>
      <c r="S87" s="1"/>
      <c r="T87" s="1"/>
      <c r="U87" s="1"/>
      <c r="V87" s="1"/>
    </row>
    <row r="88" spans="1:22">
      <c r="A88" s="1"/>
      <c r="B88" s="1"/>
      <c r="C88" s="1"/>
      <c r="D88" s="1"/>
      <c r="E88" s="1"/>
      <c r="F88" s="1"/>
      <c r="G88" s="1"/>
      <c r="H88" s="1"/>
      <c r="I88" s="1"/>
      <c r="J88" s="1"/>
      <c r="K88" s="1"/>
      <c r="L88" s="1"/>
      <c r="M88" s="1"/>
      <c r="N88" s="1"/>
      <c r="O88" s="1"/>
      <c r="P88" s="1"/>
      <c r="Q88" s="1"/>
      <c r="R88" s="1"/>
      <c r="S88" s="1"/>
      <c r="T88" s="1"/>
      <c r="U88" s="1"/>
      <c r="V88" s="1"/>
    </row>
    <row r="89" spans="1:22">
      <c r="A89" s="1"/>
      <c r="B89" s="1"/>
      <c r="C89" s="1"/>
      <c r="D89" s="1"/>
      <c r="E89" s="1"/>
      <c r="F89" s="1"/>
      <c r="G89" s="1"/>
      <c r="H89" s="1"/>
      <c r="I89" s="1"/>
      <c r="J89" s="1"/>
      <c r="K89" s="1"/>
    </row>
  </sheetData>
  <sheetProtection algorithmName="SHA-512" hashValue="yA/8nYuAo/LtHq8avGFAqvRadolDOFI7GIJhpEZWXHgxT3yvAaA70ocEVg0E3pzWkZzTH3mPZBNYlYZl4/aEWw==" saltValue="Zj4iEMXta6nWqe+Gq3YVMw==" spinCount="100000" sheet="1" objects="1" scenarios="1"/>
  <mergeCells count="13">
    <mergeCell ref="A1:U3"/>
    <mergeCell ref="B7:D7"/>
    <mergeCell ref="F7:Q7"/>
    <mergeCell ref="A4:AE4"/>
    <mergeCell ref="B20:D20"/>
    <mergeCell ref="F9:Q9"/>
    <mergeCell ref="B9:D9"/>
    <mergeCell ref="B17:D17"/>
    <mergeCell ref="B13:D13"/>
    <mergeCell ref="B15:D15"/>
    <mergeCell ref="E20:G20"/>
    <mergeCell ref="H20:J20"/>
    <mergeCell ref="K20:M20"/>
  </mergeCells>
  <phoneticPr fontId="18"/>
  <hyperlinks>
    <hyperlink ref="B13" location="'PGA1 Input Range'!A1" display="PGA1 Input Range" xr:uid="{00000000-0004-0000-0000-000000000000}"/>
    <hyperlink ref="B9" location="'PGA1 Input Range'!A1" display="PGA1 Input Range" xr:uid="{00000000-0004-0000-0000-000002000000}"/>
    <hyperlink ref="B9:D9" location="Help!R5" display="Help" xr:uid="{00000000-0004-0000-0000-000004000000}"/>
    <hyperlink ref="B13:D13" location="'Current Sensing Calculator'!A1" display="Current Sensing Calculator" xr:uid="{00000000-0004-0000-0000-000005000000}"/>
    <hyperlink ref="B15:D15" location="'Device Comparison'!O5" display="Device Comparison" xr:uid="{00000000-0004-0000-0000-000006000000}"/>
    <hyperlink ref="B11" location="Directions!A1" display="Directions" xr:uid="{90372531-04EA-4F57-ACF1-7685D27AA46E}"/>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B64"/>
  <sheetViews>
    <sheetView showGridLines="0" showRowColHeaders="0" zoomScaleNormal="100" workbookViewId="0">
      <selection activeCell="D25" sqref="D25"/>
    </sheetView>
  </sheetViews>
  <sheetFormatPr defaultColWidth="8.73046875" defaultRowHeight="14.25"/>
  <cols>
    <col min="1" max="2" width="8.73046875" style="218"/>
    <col min="3" max="3" width="17" style="218" customWidth="1"/>
    <col min="4" max="4" width="20.19921875" style="218" customWidth="1"/>
    <col min="5" max="5" width="21.73046875" style="218" customWidth="1"/>
    <col min="6" max="6" width="20.19921875" style="218" customWidth="1"/>
    <col min="7" max="7" width="16.73046875" style="218" bestFit="1" customWidth="1"/>
    <col min="8" max="8" width="16.73046875" style="218" customWidth="1"/>
    <col min="9" max="9" width="15" style="218" bestFit="1" customWidth="1"/>
    <col min="10" max="11" width="8.73046875" style="218"/>
    <col min="12" max="12" width="6.265625" style="218" customWidth="1"/>
    <col min="13" max="13" width="13.796875" style="218" customWidth="1"/>
    <col min="14" max="15" width="8.73046875" style="218"/>
    <col min="16" max="16" width="18.796875" style="218" customWidth="1"/>
    <col min="17" max="16384" width="8.73046875" style="218"/>
  </cols>
  <sheetData>
    <row r="1" spans="1:28" ht="15" customHeight="1">
      <c r="A1" s="525"/>
      <c r="B1" s="525"/>
      <c r="C1" s="525"/>
      <c r="D1" s="525"/>
      <c r="E1" s="525"/>
      <c r="F1" s="525"/>
      <c r="G1" s="525"/>
      <c r="H1" s="525"/>
      <c r="I1" s="525"/>
      <c r="J1" s="525"/>
      <c r="K1" s="525"/>
      <c r="L1" s="525"/>
      <c r="M1" s="525"/>
      <c r="N1" s="525"/>
      <c r="O1" s="525"/>
      <c r="P1" s="525"/>
    </row>
    <row r="2" spans="1:28" ht="15" customHeight="1">
      <c r="A2" s="525"/>
      <c r="B2" s="525"/>
      <c r="C2" s="525"/>
      <c r="D2" s="525"/>
      <c r="E2" s="525"/>
      <c r="F2" s="525"/>
      <c r="G2" s="525"/>
      <c r="H2" s="525"/>
      <c r="I2" s="525"/>
      <c r="J2" s="525"/>
      <c r="K2" s="525"/>
      <c r="L2" s="525"/>
      <c r="M2" s="525"/>
      <c r="N2" s="525"/>
      <c r="O2" s="525"/>
      <c r="P2" s="525"/>
    </row>
    <row r="3" spans="1:28" ht="15" customHeight="1">
      <c r="A3" s="525"/>
      <c r="B3" s="525"/>
      <c r="C3" s="525"/>
      <c r="D3" s="525"/>
      <c r="E3" s="525"/>
      <c r="F3" s="525"/>
      <c r="G3" s="525"/>
      <c r="H3" s="525"/>
      <c r="I3" s="525"/>
      <c r="J3" s="525"/>
      <c r="K3" s="525"/>
      <c r="L3" s="525"/>
      <c r="M3" s="525"/>
      <c r="N3" s="525"/>
      <c r="O3" s="525"/>
      <c r="P3" s="525"/>
    </row>
    <row r="4" spans="1:28" s="321" customFormat="1" ht="15" customHeight="1">
      <c r="A4" s="535"/>
      <c r="B4" s="535"/>
      <c r="C4" s="535"/>
      <c r="D4" s="535"/>
      <c r="E4" s="535"/>
      <c r="F4" s="535"/>
      <c r="G4" s="535"/>
      <c r="H4" s="535"/>
      <c r="I4" s="535"/>
      <c r="J4" s="535"/>
      <c r="K4" s="535"/>
      <c r="L4" s="535"/>
      <c r="M4" s="535"/>
      <c r="N4" s="535"/>
      <c r="O4" s="535"/>
      <c r="P4" s="535"/>
      <c r="Q4" s="535"/>
      <c r="R4" s="535"/>
      <c r="S4" s="535"/>
      <c r="T4" s="535"/>
      <c r="U4" s="535"/>
      <c r="V4" s="535"/>
      <c r="W4" s="535"/>
      <c r="X4" s="535"/>
      <c r="Y4" s="535"/>
      <c r="Z4" s="535"/>
      <c r="AA4" s="535"/>
      <c r="AB4" s="535"/>
    </row>
    <row r="5" spans="1:28" s="321" customFormat="1" ht="15" customHeight="1">
      <c r="A5" s="534" t="s">
        <v>396</v>
      </c>
      <c r="B5" s="534"/>
      <c r="C5" s="534"/>
      <c r="D5" s="534"/>
      <c r="E5" s="534"/>
      <c r="F5" s="534"/>
      <c r="G5" s="534"/>
      <c r="H5" s="534"/>
      <c r="I5" s="534"/>
      <c r="J5" s="534"/>
      <c r="K5" s="534"/>
      <c r="L5" s="534"/>
      <c r="M5" s="534"/>
      <c r="N5" s="534"/>
      <c r="O5" s="322"/>
      <c r="P5" s="360" t="s">
        <v>8</v>
      </c>
      <c r="Q5" s="323"/>
    </row>
    <row r="6" spans="1:28" s="321" customFormat="1" ht="15" customHeight="1">
      <c r="A6" s="323"/>
      <c r="B6" s="323"/>
      <c r="C6" s="323"/>
      <c r="D6" s="323"/>
      <c r="E6" s="323"/>
      <c r="F6" s="323"/>
      <c r="G6" s="323"/>
      <c r="H6" s="323"/>
      <c r="I6" s="323"/>
      <c r="J6" s="323"/>
      <c r="K6" s="323"/>
      <c r="L6" s="323"/>
      <c r="M6" s="323"/>
      <c r="N6" s="323"/>
      <c r="O6" s="323"/>
      <c r="P6" s="323"/>
      <c r="Q6" s="323"/>
    </row>
    <row r="7" spans="1:28" s="321" customFormat="1" ht="15" customHeight="1">
      <c r="A7" s="324"/>
      <c r="B7" s="536" t="s">
        <v>135</v>
      </c>
      <c r="C7" s="536"/>
      <c r="D7" s="536"/>
      <c r="E7" s="536"/>
      <c r="F7" s="536"/>
      <c r="G7" s="536"/>
      <c r="H7" s="536"/>
      <c r="I7" s="536"/>
      <c r="J7" s="325"/>
      <c r="K7" s="325"/>
      <c r="L7" s="325"/>
      <c r="M7" s="325"/>
      <c r="N7" s="325"/>
      <c r="O7" s="325"/>
      <c r="P7" s="325"/>
      <c r="Q7" s="323"/>
    </row>
    <row r="8" spans="1:28" s="321" customFormat="1" ht="15" customHeight="1">
      <c r="A8" s="324"/>
      <c r="B8" s="326"/>
      <c r="C8" s="326"/>
      <c r="D8" s="326"/>
      <c r="E8" s="326"/>
      <c r="F8" s="326"/>
      <c r="G8" s="326"/>
      <c r="H8" s="326"/>
      <c r="I8" s="326"/>
      <c r="J8" s="325"/>
      <c r="K8" s="325"/>
      <c r="L8" s="325"/>
      <c r="M8" s="325"/>
      <c r="N8" s="325"/>
      <c r="O8" s="325"/>
      <c r="P8" s="325"/>
      <c r="Q8" s="323"/>
    </row>
    <row r="9" spans="1:28" s="321" customFormat="1" ht="15" customHeight="1">
      <c r="A9" s="324"/>
      <c r="B9" s="324" t="s">
        <v>467</v>
      </c>
      <c r="C9" s="326"/>
      <c r="D9" s="326"/>
      <c r="E9" s="326"/>
      <c r="G9" s="903" t="s">
        <v>466</v>
      </c>
      <c r="H9" s="327"/>
      <c r="I9" s="327" t="s">
        <v>246</v>
      </c>
      <c r="J9" s="325"/>
      <c r="K9" s="325"/>
      <c r="L9" s="325"/>
      <c r="M9" s="325"/>
      <c r="N9" s="325"/>
      <c r="O9" s="325"/>
      <c r="P9" s="325"/>
      <c r="Q9" s="323"/>
    </row>
    <row r="10" spans="1:28" s="321" customFormat="1" ht="15" customHeight="1">
      <c r="A10" s="323"/>
      <c r="B10" s="323"/>
      <c r="C10" s="323"/>
      <c r="D10" s="323"/>
      <c r="E10" s="323"/>
      <c r="F10" s="323"/>
      <c r="G10" s="323"/>
      <c r="H10" s="323"/>
      <c r="I10" s="323"/>
      <c r="J10" s="323"/>
      <c r="K10" s="323"/>
      <c r="L10" s="323"/>
      <c r="M10" s="323"/>
      <c r="N10" s="323"/>
      <c r="O10" s="323"/>
      <c r="P10" s="323"/>
      <c r="Q10" s="323"/>
    </row>
    <row r="11" spans="1:28" s="321" customFormat="1" ht="15" customHeight="1">
      <c r="A11" s="323"/>
      <c r="B11" s="323" t="s">
        <v>243</v>
      </c>
      <c r="C11" s="323"/>
      <c r="D11" s="323"/>
      <c r="E11" s="323"/>
      <c r="F11" s="323"/>
      <c r="G11" s="323"/>
      <c r="H11" s="323"/>
      <c r="I11" s="323"/>
      <c r="J11" s="323"/>
      <c r="K11" s="323"/>
      <c r="L11" s="323"/>
      <c r="M11" s="323"/>
      <c r="N11" s="323"/>
      <c r="O11" s="323"/>
      <c r="P11" s="323"/>
      <c r="Q11" s="323"/>
    </row>
    <row r="12" spans="1:28" s="321" customFormat="1" ht="15" customHeight="1" thickBot="1">
      <c r="A12" s="323"/>
      <c r="B12" s="323"/>
      <c r="C12" s="323"/>
      <c r="D12" s="323"/>
      <c r="E12" s="323"/>
      <c r="F12" s="323"/>
      <c r="G12" s="323"/>
      <c r="H12" s="323"/>
      <c r="I12" s="323"/>
      <c r="J12" s="323"/>
      <c r="K12" s="323"/>
      <c r="L12" s="323"/>
      <c r="M12" s="323"/>
      <c r="N12" s="323"/>
      <c r="O12" s="323"/>
      <c r="P12" s="323"/>
      <c r="Q12" s="323"/>
    </row>
    <row r="13" spans="1:28" s="321" customFormat="1" ht="15" customHeight="1" thickBot="1">
      <c r="A13" s="323"/>
      <c r="B13" s="323"/>
      <c r="C13" s="328" t="s">
        <v>222</v>
      </c>
      <c r="D13" s="328" t="s">
        <v>238</v>
      </c>
      <c r="E13" s="328" t="s">
        <v>225</v>
      </c>
      <c r="F13" s="328" t="s">
        <v>226</v>
      </c>
      <c r="G13" s="328" t="s">
        <v>224</v>
      </c>
      <c r="H13" s="328" t="s">
        <v>247</v>
      </c>
      <c r="I13" s="328" t="s">
        <v>240</v>
      </c>
      <c r="J13" s="537" t="s">
        <v>223</v>
      </c>
      <c r="K13" s="538"/>
      <c r="L13" s="538"/>
      <c r="M13" s="539"/>
      <c r="N13" s="323"/>
      <c r="O13" s="323"/>
      <c r="P13" s="323"/>
      <c r="Q13" s="323"/>
    </row>
    <row r="14" spans="1:28" s="321" customFormat="1" ht="15" customHeight="1">
      <c r="A14" s="323"/>
      <c r="B14" s="323"/>
      <c r="C14" s="450" t="s">
        <v>403</v>
      </c>
      <c r="D14" s="451" t="s">
        <v>239</v>
      </c>
      <c r="E14" s="451" t="s">
        <v>410</v>
      </c>
      <c r="F14" s="451" t="s">
        <v>235</v>
      </c>
      <c r="G14" s="451"/>
      <c r="H14" s="451"/>
      <c r="I14" s="452"/>
      <c r="J14" s="542" t="s">
        <v>411</v>
      </c>
      <c r="K14" s="543"/>
      <c r="L14" s="543"/>
      <c r="M14" s="544"/>
      <c r="N14" s="323"/>
      <c r="O14" s="323"/>
      <c r="P14" s="323"/>
      <c r="Q14" s="323"/>
    </row>
    <row r="15" spans="1:28" s="321" customFormat="1" ht="15" customHeight="1">
      <c r="A15" s="323"/>
      <c r="B15" s="323"/>
      <c r="C15" s="453" t="s">
        <v>404</v>
      </c>
      <c r="D15" s="451" t="s">
        <v>239</v>
      </c>
      <c r="E15" s="451" t="s">
        <v>410</v>
      </c>
      <c r="F15" s="451" t="s">
        <v>235</v>
      </c>
      <c r="G15" s="454"/>
      <c r="H15" s="454" t="s">
        <v>227</v>
      </c>
      <c r="I15" s="455"/>
      <c r="J15" s="463" t="s">
        <v>412</v>
      </c>
      <c r="K15" s="456"/>
      <c r="L15" s="456"/>
      <c r="M15" s="457"/>
      <c r="N15" s="323"/>
      <c r="O15" s="323"/>
      <c r="P15" s="323"/>
      <c r="Q15" s="323"/>
    </row>
    <row r="16" spans="1:28" s="321" customFormat="1" ht="28.05" customHeight="1">
      <c r="A16" s="323"/>
      <c r="B16" s="323"/>
      <c r="C16" s="458" t="s">
        <v>408</v>
      </c>
      <c r="D16" s="451" t="s">
        <v>239</v>
      </c>
      <c r="E16" s="454" t="s">
        <v>413</v>
      </c>
      <c r="F16" s="451" t="s">
        <v>235</v>
      </c>
      <c r="G16" s="454"/>
      <c r="H16" s="454" t="s">
        <v>227</v>
      </c>
      <c r="I16" s="455"/>
      <c r="J16" s="463" t="s">
        <v>414</v>
      </c>
      <c r="K16" s="456"/>
      <c r="L16" s="456"/>
      <c r="M16" s="457"/>
      <c r="N16" s="323"/>
      <c r="O16" s="323"/>
      <c r="P16" s="323"/>
      <c r="Q16" s="323"/>
    </row>
    <row r="17" spans="1:17" s="321" customFormat="1" ht="28.05" customHeight="1">
      <c r="A17" s="323"/>
      <c r="B17" s="323"/>
      <c r="C17" s="458" t="s">
        <v>409</v>
      </c>
      <c r="D17" s="451" t="s">
        <v>239</v>
      </c>
      <c r="E17" s="454" t="s">
        <v>413</v>
      </c>
      <c r="F17" s="451" t="s">
        <v>235</v>
      </c>
      <c r="G17" s="454"/>
      <c r="H17" s="454" t="s">
        <v>227</v>
      </c>
      <c r="I17" s="455"/>
      <c r="J17" s="463" t="s">
        <v>414</v>
      </c>
      <c r="K17" s="456"/>
      <c r="L17" s="456"/>
      <c r="M17" s="457"/>
      <c r="N17" s="323"/>
      <c r="O17" s="323"/>
      <c r="P17" s="323"/>
      <c r="Q17" s="323"/>
    </row>
    <row r="18" spans="1:17" s="321" customFormat="1" ht="15" customHeight="1">
      <c r="A18" s="323"/>
      <c r="B18" s="323"/>
      <c r="C18" s="453" t="s">
        <v>405</v>
      </c>
      <c r="D18" s="451" t="s">
        <v>239</v>
      </c>
      <c r="E18" s="454" t="s">
        <v>413</v>
      </c>
      <c r="F18" s="451" t="s">
        <v>235</v>
      </c>
      <c r="G18" s="454"/>
      <c r="H18" s="454"/>
      <c r="I18" s="455"/>
      <c r="J18" s="463" t="s">
        <v>415</v>
      </c>
      <c r="K18" s="456"/>
      <c r="L18" s="456"/>
      <c r="M18" s="457"/>
      <c r="N18" s="323"/>
      <c r="O18" s="323"/>
      <c r="P18" s="323"/>
      <c r="Q18" s="323"/>
    </row>
    <row r="19" spans="1:17" s="321" customFormat="1" ht="15" customHeight="1">
      <c r="A19" s="323"/>
      <c r="B19" s="323"/>
      <c r="C19" s="453" t="s">
        <v>406</v>
      </c>
      <c r="D19" s="451" t="s">
        <v>239</v>
      </c>
      <c r="E19" s="454" t="s">
        <v>413</v>
      </c>
      <c r="F19" s="451" t="s">
        <v>235</v>
      </c>
      <c r="G19" s="454"/>
      <c r="H19" s="454" t="s">
        <v>227</v>
      </c>
      <c r="I19" s="459"/>
      <c r="J19" s="464" t="s">
        <v>416</v>
      </c>
      <c r="K19" s="460"/>
      <c r="L19" s="460"/>
      <c r="M19" s="461"/>
      <c r="N19" s="323"/>
      <c r="O19" s="323"/>
      <c r="P19" s="323"/>
      <c r="Q19" s="323"/>
    </row>
    <row r="20" spans="1:17" s="321" customFormat="1" ht="15" customHeight="1">
      <c r="A20" s="324"/>
      <c r="B20" s="324"/>
      <c r="C20" s="329" t="s">
        <v>187</v>
      </c>
      <c r="D20" s="330" t="s">
        <v>237</v>
      </c>
      <c r="E20" s="331" t="s">
        <v>229</v>
      </c>
      <c r="F20" s="330" t="s">
        <v>236</v>
      </c>
      <c r="G20" s="331"/>
      <c r="H20" s="330"/>
      <c r="I20" s="333"/>
      <c r="J20" s="540" t="s">
        <v>213</v>
      </c>
      <c r="K20" s="540"/>
      <c r="L20" s="540"/>
      <c r="M20" s="541"/>
      <c r="N20" s="324"/>
      <c r="O20" s="324"/>
      <c r="P20" s="324"/>
      <c r="Q20" s="324"/>
    </row>
    <row r="21" spans="1:17" s="321" customFormat="1" ht="15" customHeight="1">
      <c r="A21" s="324"/>
      <c r="B21" s="324"/>
      <c r="C21" s="332" t="s">
        <v>177</v>
      </c>
      <c r="D21" s="333" t="s">
        <v>239</v>
      </c>
      <c r="E21" s="334" t="s">
        <v>230</v>
      </c>
      <c r="F21" s="333" t="s">
        <v>236</v>
      </c>
      <c r="G21" s="334"/>
      <c r="H21" s="333" t="s">
        <v>227</v>
      </c>
      <c r="I21" s="462"/>
      <c r="J21" s="531" t="s">
        <v>392</v>
      </c>
      <c r="K21" s="532"/>
      <c r="L21" s="532"/>
      <c r="M21" s="533"/>
      <c r="N21" s="324"/>
      <c r="O21" s="324"/>
      <c r="P21" s="324"/>
      <c r="Q21" s="324"/>
    </row>
    <row r="22" spans="1:17" s="321" customFormat="1" ht="15" customHeight="1">
      <c r="A22" s="324"/>
      <c r="B22" s="324"/>
      <c r="C22" s="335" t="s">
        <v>71</v>
      </c>
      <c r="D22" s="333" t="s">
        <v>237</v>
      </c>
      <c r="E22" s="334" t="s">
        <v>228</v>
      </c>
      <c r="F22" s="333" t="s">
        <v>235</v>
      </c>
      <c r="G22" s="334"/>
      <c r="H22" s="333"/>
      <c r="I22" s="333"/>
      <c r="J22" s="545" t="s">
        <v>217</v>
      </c>
      <c r="K22" s="546"/>
      <c r="L22" s="546"/>
      <c r="M22" s="547"/>
      <c r="N22" s="324"/>
      <c r="O22" s="324"/>
      <c r="P22" s="324"/>
      <c r="Q22" s="324"/>
    </row>
    <row r="23" spans="1:17" s="321" customFormat="1" ht="15" customHeight="1">
      <c r="A23" s="323"/>
      <c r="B23" s="323"/>
      <c r="C23" s="336" t="s">
        <v>197</v>
      </c>
      <c r="D23" s="330" t="s">
        <v>237</v>
      </c>
      <c r="E23" s="331" t="s">
        <v>228</v>
      </c>
      <c r="F23" s="330" t="s">
        <v>235</v>
      </c>
      <c r="G23" s="331"/>
      <c r="H23" s="330" t="s">
        <v>227</v>
      </c>
      <c r="I23" s="330"/>
      <c r="J23" s="545" t="s">
        <v>202</v>
      </c>
      <c r="K23" s="546"/>
      <c r="L23" s="546"/>
      <c r="M23" s="547"/>
      <c r="N23" s="323"/>
      <c r="O23" s="323"/>
      <c r="P23" s="323"/>
      <c r="Q23" s="323"/>
    </row>
    <row r="24" spans="1:17" s="321" customFormat="1" ht="15" customHeight="1">
      <c r="A24" s="323"/>
      <c r="B24" s="323"/>
      <c r="C24" s="335" t="s">
        <v>72</v>
      </c>
      <c r="D24" s="333" t="s">
        <v>237</v>
      </c>
      <c r="E24" s="334" t="s">
        <v>228</v>
      </c>
      <c r="F24" s="333" t="s">
        <v>235</v>
      </c>
      <c r="G24" s="334"/>
      <c r="H24" s="333"/>
      <c r="I24" s="333"/>
      <c r="J24" s="545" t="s">
        <v>203</v>
      </c>
      <c r="K24" s="546"/>
      <c r="L24" s="546"/>
      <c r="M24" s="547"/>
      <c r="N24" s="323"/>
      <c r="O24" s="323"/>
      <c r="P24" s="323"/>
      <c r="Q24" s="323"/>
    </row>
    <row r="25" spans="1:17" s="321" customFormat="1" ht="15" customHeight="1">
      <c r="A25" s="324"/>
      <c r="B25" s="324"/>
      <c r="C25" s="337" t="s">
        <v>43</v>
      </c>
      <c r="D25" s="330" t="s">
        <v>237</v>
      </c>
      <c r="E25" s="331" t="s">
        <v>228</v>
      </c>
      <c r="F25" s="330" t="s">
        <v>235</v>
      </c>
      <c r="G25" s="331"/>
      <c r="H25" s="330" t="s">
        <v>227</v>
      </c>
      <c r="I25" s="330"/>
      <c r="J25" s="545" t="s">
        <v>204</v>
      </c>
      <c r="K25" s="546"/>
      <c r="L25" s="546"/>
      <c r="M25" s="547"/>
      <c r="N25" s="324"/>
      <c r="O25" s="324"/>
      <c r="P25" s="324"/>
      <c r="Q25" s="324"/>
    </row>
    <row r="26" spans="1:17" s="321" customFormat="1" ht="15" customHeight="1">
      <c r="A26" s="323"/>
      <c r="B26" s="323"/>
      <c r="C26" s="335" t="s">
        <v>11</v>
      </c>
      <c r="D26" s="333" t="s">
        <v>237</v>
      </c>
      <c r="E26" s="334" t="s">
        <v>229</v>
      </c>
      <c r="F26" s="333" t="s">
        <v>235</v>
      </c>
      <c r="G26" s="334"/>
      <c r="H26" s="333"/>
      <c r="I26" s="333"/>
      <c r="J26" s="545" t="s">
        <v>205</v>
      </c>
      <c r="K26" s="546"/>
      <c r="L26" s="546"/>
      <c r="M26" s="547"/>
      <c r="N26" s="323"/>
      <c r="O26" s="323"/>
      <c r="P26" s="323"/>
      <c r="Q26" s="323"/>
    </row>
    <row r="27" spans="1:17" s="321" customFormat="1" ht="15" customHeight="1">
      <c r="A27" s="323"/>
      <c r="B27" s="323"/>
      <c r="C27" s="336" t="s">
        <v>193</v>
      </c>
      <c r="D27" s="330" t="s">
        <v>237</v>
      </c>
      <c r="E27" s="331" t="s">
        <v>229</v>
      </c>
      <c r="F27" s="330" t="s">
        <v>235</v>
      </c>
      <c r="G27" s="331"/>
      <c r="H27" s="330" t="s">
        <v>227</v>
      </c>
      <c r="I27" s="330"/>
      <c r="J27" s="545" t="s">
        <v>206</v>
      </c>
      <c r="K27" s="546"/>
      <c r="L27" s="546"/>
      <c r="M27" s="547"/>
      <c r="N27" s="323"/>
      <c r="O27" s="323"/>
      <c r="P27" s="323"/>
      <c r="Q27" s="323"/>
    </row>
    <row r="28" spans="1:17" s="321" customFormat="1" ht="15" customHeight="1">
      <c r="A28" s="323"/>
      <c r="B28" s="323"/>
      <c r="C28" s="335" t="s">
        <v>73</v>
      </c>
      <c r="D28" s="333" t="s">
        <v>239</v>
      </c>
      <c r="E28" s="334" t="s">
        <v>230</v>
      </c>
      <c r="F28" s="333" t="s">
        <v>235</v>
      </c>
      <c r="G28" s="334"/>
      <c r="H28" s="333"/>
      <c r="I28" s="333"/>
      <c r="J28" s="545" t="s">
        <v>218</v>
      </c>
      <c r="K28" s="546"/>
      <c r="L28" s="546"/>
      <c r="M28" s="547"/>
      <c r="N28" s="323"/>
      <c r="O28" s="323"/>
      <c r="P28" s="323"/>
      <c r="Q28" s="323"/>
    </row>
    <row r="29" spans="1:17" s="321" customFormat="1" ht="15" customHeight="1">
      <c r="A29" s="323"/>
      <c r="B29" s="323"/>
      <c r="C29" s="338" t="s">
        <v>74</v>
      </c>
      <c r="D29" s="330" t="s">
        <v>239</v>
      </c>
      <c r="E29" s="331" t="s">
        <v>230</v>
      </c>
      <c r="F29" s="330" t="s">
        <v>235</v>
      </c>
      <c r="G29" s="331"/>
      <c r="H29" s="330" t="s">
        <v>227</v>
      </c>
      <c r="I29" s="330"/>
      <c r="J29" s="545" t="s">
        <v>219</v>
      </c>
      <c r="K29" s="546"/>
      <c r="L29" s="546"/>
      <c r="M29" s="547"/>
      <c r="N29" s="323"/>
      <c r="O29" s="323"/>
      <c r="P29" s="323"/>
      <c r="Q29" s="323"/>
    </row>
    <row r="30" spans="1:17" s="321" customFormat="1" ht="13.9">
      <c r="A30" s="324"/>
      <c r="B30" s="324"/>
      <c r="C30" s="339" t="s">
        <v>190</v>
      </c>
      <c r="D30" s="333" t="s">
        <v>239</v>
      </c>
      <c r="E30" s="334" t="s">
        <v>232</v>
      </c>
      <c r="F30" s="333" t="s">
        <v>235</v>
      </c>
      <c r="G30" s="334"/>
      <c r="H30" s="333"/>
      <c r="I30" s="333"/>
      <c r="J30" s="545" t="s">
        <v>214</v>
      </c>
      <c r="K30" s="546"/>
      <c r="L30" s="546"/>
      <c r="M30" s="547"/>
      <c r="N30" s="324"/>
      <c r="O30" s="324"/>
      <c r="P30" s="324"/>
      <c r="Q30" s="324"/>
    </row>
    <row r="31" spans="1:17" s="321" customFormat="1" ht="15" customHeight="1">
      <c r="A31" s="323"/>
      <c r="B31" s="324"/>
      <c r="C31" s="336" t="s">
        <v>191</v>
      </c>
      <c r="D31" s="330" t="s">
        <v>239</v>
      </c>
      <c r="E31" s="331" t="s">
        <v>233</v>
      </c>
      <c r="F31" s="330" t="s">
        <v>235</v>
      </c>
      <c r="G31" s="331"/>
      <c r="H31" s="330"/>
      <c r="I31" s="330"/>
      <c r="J31" s="545" t="s">
        <v>215</v>
      </c>
      <c r="K31" s="546"/>
      <c r="L31" s="546"/>
      <c r="M31" s="547"/>
      <c r="N31" s="323"/>
      <c r="O31" s="323"/>
      <c r="P31" s="323"/>
      <c r="Q31" s="323"/>
    </row>
    <row r="32" spans="1:17" s="321" customFormat="1" ht="15" customHeight="1">
      <c r="A32" s="323"/>
      <c r="B32" s="324"/>
      <c r="C32" s="332" t="s">
        <v>201</v>
      </c>
      <c r="D32" s="333" t="s">
        <v>237</v>
      </c>
      <c r="E32" s="334" t="s">
        <v>228</v>
      </c>
      <c r="F32" s="340" t="s">
        <v>235</v>
      </c>
      <c r="G32" s="334"/>
      <c r="H32" s="333"/>
      <c r="I32" s="333" t="s">
        <v>227</v>
      </c>
      <c r="J32" s="545" t="s">
        <v>210</v>
      </c>
      <c r="K32" s="546"/>
      <c r="L32" s="546"/>
      <c r="M32" s="547"/>
      <c r="N32" s="323"/>
      <c r="O32" s="323"/>
      <c r="P32" s="323"/>
      <c r="Q32" s="323"/>
    </row>
    <row r="33" spans="1:17" s="321" customFormat="1" ht="15" customHeight="1">
      <c r="A33" s="323"/>
      <c r="B33" s="323"/>
      <c r="C33" s="329" t="s">
        <v>199</v>
      </c>
      <c r="D33" s="330" t="s">
        <v>239</v>
      </c>
      <c r="E33" s="331" t="s">
        <v>230</v>
      </c>
      <c r="F33" s="330" t="s">
        <v>235</v>
      </c>
      <c r="G33" s="331"/>
      <c r="H33" s="330"/>
      <c r="I33" s="330" t="s">
        <v>227</v>
      </c>
      <c r="J33" s="545" t="s">
        <v>211</v>
      </c>
      <c r="K33" s="546"/>
      <c r="L33" s="546"/>
      <c r="M33" s="547"/>
      <c r="N33" s="323"/>
      <c r="O33" s="323"/>
      <c r="P33" s="323"/>
      <c r="Q33" s="323"/>
    </row>
    <row r="34" spans="1:17" s="321" customFormat="1" ht="15" customHeight="1">
      <c r="A34" s="324"/>
      <c r="B34" s="324"/>
      <c r="C34" s="335" t="s">
        <v>44</v>
      </c>
      <c r="D34" s="333" t="s">
        <v>237</v>
      </c>
      <c r="E34" s="334" t="s">
        <v>228</v>
      </c>
      <c r="F34" s="333" t="s">
        <v>235</v>
      </c>
      <c r="G34" s="334" t="s">
        <v>227</v>
      </c>
      <c r="H34" s="333"/>
      <c r="I34" s="333"/>
      <c r="J34" s="545" t="s">
        <v>207</v>
      </c>
      <c r="K34" s="546"/>
      <c r="L34" s="546"/>
      <c r="M34" s="547"/>
      <c r="N34" s="324"/>
      <c r="O34" s="324"/>
      <c r="P34" s="324"/>
      <c r="Q34" s="324"/>
    </row>
    <row r="35" spans="1:17" s="321" customFormat="1" ht="15" customHeight="1">
      <c r="A35" s="323"/>
      <c r="B35" s="323"/>
      <c r="C35" s="336" t="s">
        <v>194</v>
      </c>
      <c r="D35" s="330" t="s">
        <v>237</v>
      </c>
      <c r="E35" s="331" t="s">
        <v>228</v>
      </c>
      <c r="F35" s="330" t="s">
        <v>235</v>
      </c>
      <c r="G35" s="331" t="s">
        <v>227</v>
      </c>
      <c r="H35" s="330" t="s">
        <v>227</v>
      </c>
      <c r="I35" s="330"/>
      <c r="J35" s="545" t="s">
        <v>208</v>
      </c>
      <c r="K35" s="546"/>
      <c r="L35" s="546"/>
      <c r="M35" s="547"/>
      <c r="N35" s="323"/>
      <c r="O35" s="323"/>
      <c r="P35" s="323"/>
      <c r="Q35" s="323"/>
    </row>
    <row r="36" spans="1:17" s="321" customFormat="1" ht="15" customHeight="1">
      <c r="A36" s="323"/>
      <c r="B36" s="323"/>
      <c r="C36" s="332" t="s">
        <v>198</v>
      </c>
      <c r="D36" s="333" t="s">
        <v>237</v>
      </c>
      <c r="E36" s="334" t="s">
        <v>229</v>
      </c>
      <c r="F36" s="333" t="s">
        <v>235</v>
      </c>
      <c r="G36" s="334" t="s">
        <v>227</v>
      </c>
      <c r="H36" s="333"/>
      <c r="I36" s="333"/>
      <c r="J36" s="545" t="s">
        <v>209</v>
      </c>
      <c r="K36" s="546"/>
      <c r="L36" s="546"/>
      <c r="M36" s="547"/>
      <c r="N36" s="323"/>
      <c r="O36" s="323"/>
      <c r="P36" s="323"/>
      <c r="Q36" s="323"/>
    </row>
    <row r="37" spans="1:17" s="321" customFormat="1" ht="15" customHeight="1">
      <c r="A37" s="323"/>
      <c r="B37" s="323"/>
      <c r="C37" s="329" t="s">
        <v>200</v>
      </c>
      <c r="D37" s="330" t="s">
        <v>237</v>
      </c>
      <c r="E37" s="331" t="s">
        <v>229</v>
      </c>
      <c r="F37" s="330" t="s">
        <v>235</v>
      </c>
      <c r="G37" s="331" t="s">
        <v>227</v>
      </c>
      <c r="H37" s="330" t="s">
        <v>227</v>
      </c>
      <c r="I37" s="330"/>
      <c r="J37" s="545" t="s">
        <v>212</v>
      </c>
      <c r="K37" s="546"/>
      <c r="L37" s="546"/>
      <c r="M37" s="547"/>
      <c r="N37" s="323"/>
      <c r="O37" s="323"/>
      <c r="P37" s="323"/>
      <c r="Q37" s="323"/>
    </row>
    <row r="38" spans="1:17" s="321" customFormat="1" ht="15" customHeight="1">
      <c r="A38" s="323"/>
      <c r="B38" s="323"/>
      <c r="C38" s="339" t="s">
        <v>195</v>
      </c>
      <c r="D38" s="333" t="s">
        <v>239</v>
      </c>
      <c r="E38" s="334" t="s">
        <v>231</v>
      </c>
      <c r="F38" s="333" t="s">
        <v>235</v>
      </c>
      <c r="G38" s="334" t="s">
        <v>227</v>
      </c>
      <c r="H38" s="333"/>
      <c r="I38" s="333"/>
      <c r="J38" s="545" t="s">
        <v>220</v>
      </c>
      <c r="K38" s="546"/>
      <c r="L38" s="546"/>
      <c r="M38" s="547"/>
      <c r="N38" s="323"/>
      <c r="O38" s="323"/>
      <c r="P38" s="323"/>
      <c r="Q38" s="323"/>
    </row>
    <row r="39" spans="1:17" s="321" customFormat="1" ht="15" customHeight="1">
      <c r="A39" s="323"/>
      <c r="B39" s="323"/>
      <c r="C39" s="332" t="s">
        <v>196</v>
      </c>
      <c r="D39" s="333" t="s">
        <v>239</v>
      </c>
      <c r="E39" s="334" t="s">
        <v>231</v>
      </c>
      <c r="F39" s="333" t="s">
        <v>235</v>
      </c>
      <c r="G39" s="334" t="s">
        <v>227</v>
      </c>
      <c r="H39" s="333" t="s">
        <v>227</v>
      </c>
      <c r="I39" s="333"/>
      <c r="J39" s="545" t="s">
        <v>221</v>
      </c>
      <c r="K39" s="546"/>
      <c r="L39" s="546"/>
      <c r="M39" s="547"/>
      <c r="N39" s="323"/>
      <c r="O39" s="323"/>
      <c r="P39" s="323"/>
      <c r="Q39" s="323"/>
    </row>
    <row r="40" spans="1:17" s="321" customFormat="1" ht="15" customHeight="1" thickBot="1">
      <c r="A40" s="324"/>
      <c r="B40" s="324"/>
      <c r="C40" s="341" t="s">
        <v>75</v>
      </c>
      <c r="D40" s="342" t="s">
        <v>239</v>
      </c>
      <c r="E40" s="343" t="s">
        <v>234</v>
      </c>
      <c r="F40" s="342" t="s">
        <v>235</v>
      </c>
      <c r="G40" s="343"/>
      <c r="H40" s="342"/>
      <c r="I40" s="342"/>
      <c r="J40" s="548" t="s">
        <v>216</v>
      </c>
      <c r="K40" s="549"/>
      <c r="L40" s="549"/>
      <c r="M40" s="550"/>
      <c r="N40" s="324"/>
      <c r="O40" s="324"/>
      <c r="P40" s="324"/>
      <c r="Q40" s="324"/>
    </row>
    <row r="41" spans="1:17" s="321" customFormat="1" ht="15" customHeight="1">
      <c r="A41" s="323"/>
      <c r="B41" s="323"/>
      <c r="C41" s="323"/>
      <c r="D41" s="323"/>
      <c r="E41" s="323"/>
      <c r="F41" s="323"/>
      <c r="G41" s="323"/>
      <c r="H41" s="323"/>
      <c r="I41" s="323"/>
      <c r="J41" s="323"/>
      <c r="K41" s="323"/>
      <c r="L41" s="323"/>
      <c r="M41" s="323"/>
      <c r="N41" s="323"/>
      <c r="O41" s="323"/>
      <c r="P41" s="323"/>
      <c r="Q41" s="323"/>
    </row>
    <row r="42" spans="1:17" s="321" customFormat="1" ht="15" customHeight="1">
      <c r="A42" s="323"/>
      <c r="B42" s="323" t="s">
        <v>244</v>
      </c>
      <c r="C42" s="323"/>
      <c r="D42" s="323"/>
      <c r="E42" s="323"/>
      <c r="F42" s="323"/>
      <c r="G42" s="323"/>
      <c r="H42" s="323"/>
      <c r="I42" s="323"/>
      <c r="J42" s="323"/>
      <c r="K42" s="323"/>
      <c r="L42" s="323"/>
      <c r="M42" s="323"/>
      <c r="N42" s="323"/>
      <c r="O42" s="323"/>
      <c r="P42" s="323"/>
      <c r="Q42" s="323"/>
    </row>
    <row r="43" spans="1:17" s="321" customFormat="1" ht="15" customHeight="1">
      <c r="A43" s="323"/>
      <c r="B43" s="323"/>
      <c r="C43" s="323"/>
      <c r="D43" s="344" t="s">
        <v>10</v>
      </c>
      <c r="E43" s="345" t="s">
        <v>8</v>
      </c>
      <c r="F43" s="323"/>
      <c r="G43" s="323"/>
      <c r="H43" s="323"/>
      <c r="I43" s="323"/>
      <c r="J43" s="323"/>
      <c r="K43" s="323"/>
      <c r="L43" s="323"/>
      <c r="M43" s="323"/>
      <c r="N43" s="323"/>
      <c r="O43" s="323"/>
      <c r="P43" s="323"/>
      <c r="Q43" s="323"/>
    </row>
    <row r="44" spans="1:17" s="321" customFormat="1" ht="15" customHeight="1">
      <c r="A44" s="323"/>
      <c r="B44" s="323"/>
      <c r="C44" s="324"/>
      <c r="D44" s="324"/>
      <c r="E44" s="324"/>
      <c r="F44" s="345"/>
      <c r="G44" s="345"/>
      <c r="H44" s="346"/>
      <c r="I44" s="323"/>
      <c r="J44" s="323"/>
      <c r="K44" s="323"/>
      <c r="L44" s="323"/>
      <c r="M44" s="323"/>
      <c r="N44" s="323"/>
      <c r="O44" s="323"/>
      <c r="P44" s="323"/>
      <c r="Q44" s="323"/>
    </row>
    <row r="45" spans="1:17" s="321" customFormat="1" ht="15" customHeight="1">
      <c r="A45" s="323"/>
      <c r="B45" s="323" t="s">
        <v>245</v>
      </c>
      <c r="C45" s="323"/>
      <c r="D45" s="323"/>
      <c r="E45" s="323"/>
      <c r="F45" s="323"/>
      <c r="G45" s="323"/>
      <c r="H45" s="323"/>
      <c r="I45" s="323"/>
      <c r="J45" s="323"/>
      <c r="K45" s="323"/>
      <c r="L45" s="323"/>
      <c r="M45" s="323"/>
      <c r="N45" s="323"/>
      <c r="O45" s="323"/>
      <c r="P45" s="323"/>
      <c r="Q45" s="323"/>
    </row>
    <row r="46" spans="1:17" s="321" customFormat="1" ht="15" customHeight="1" thickBot="1">
      <c r="A46" s="323"/>
      <c r="B46" s="323"/>
      <c r="C46" s="347"/>
      <c r="D46" s="323"/>
      <c r="E46" s="323"/>
      <c r="F46" s="323"/>
      <c r="G46" s="323"/>
      <c r="H46" s="323"/>
      <c r="I46" s="323"/>
      <c r="J46" s="323"/>
      <c r="K46" s="323"/>
      <c r="L46" s="323"/>
      <c r="M46" s="323"/>
      <c r="N46" s="323"/>
      <c r="O46" s="323"/>
      <c r="P46" s="323"/>
      <c r="Q46" s="323"/>
    </row>
    <row r="47" spans="1:17" s="321" customFormat="1" ht="15" customHeight="1">
      <c r="A47" s="323"/>
      <c r="B47" s="323"/>
      <c r="C47" s="348" t="s">
        <v>38</v>
      </c>
      <c r="D47" s="349" t="s">
        <v>9</v>
      </c>
      <c r="E47" s="323"/>
      <c r="F47" s="323"/>
      <c r="G47" s="324"/>
      <c r="H47" s="324"/>
      <c r="I47" s="324"/>
      <c r="J47" s="324"/>
      <c r="K47" s="323"/>
      <c r="L47" s="323"/>
      <c r="M47" s="323"/>
      <c r="N47" s="323"/>
      <c r="O47" s="323"/>
      <c r="P47" s="323"/>
      <c r="Q47" s="323"/>
    </row>
    <row r="48" spans="1:17" s="321" customFormat="1" ht="15" customHeight="1">
      <c r="A48" s="323"/>
      <c r="B48" s="323"/>
      <c r="C48" s="348" t="s">
        <v>391</v>
      </c>
      <c r="D48" s="350" t="s">
        <v>9</v>
      </c>
      <c r="E48" s="323"/>
      <c r="F48" s="323"/>
      <c r="G48" s="324"/>
      <c r="H48" s="324"/>
      <c r="I48" s="324"/>
      <c r="J48" s="324"/>
      <c r="K48" s="323"/>
      <c r="L48" s="323"/>
      <c r="M48" s="323"/>
      <c r="N48" s="323"/>
      <c r="O48" s="323"/>
      <c r="P48" s="323"/>
      <c r="Q48" s="323"/>
    </row>
    <row r="49" spans="1:17" s="321" customFormat="1" ht="15" customHeight="1">
      <c r="A49" s="323"/>
      <c r="B49" s="323"/>
      <c r="C49" s="348" t="s">
        <v>379</v>
      </c>
      <c r="D49" s="351" t="s">
        <v>9</v>
      </c>
      <c r="E49" s="323"/>
      <c r="F49" s="323"/>
      <c r="G49" s="324"/>
      <c r="H49" s="324"/>
      <c r="I49" s="324"/>
      <c r="J49" s="324"/>
      <c r="K49" s="323"/>
      <c r="L49" s="323"/>
      <c r="M49" s="323"/>
      <c r="N49" s="323"/>
      <c r="O49" s="323"/>
      <c r="P49" s="323"/>
      <c r="Q49" s="323"/>
    </row>
    <row r="50" spans="1:17" s="321" customFormat="1" ht="15" customHeight="1">
      <c r="A50" s="323"/>
      <c r="B50" s="323"/>
      <c r="C50" s="352" t="s">
        <v>170</v>
      </c>
      <c r="D50" s="353" t="s">
        <v>9</v>
      </c>
      <c r="E50" s="323"/>
      <c r="F50" s="323"/>
      <c r="G50" s="324"/>
      <c r="H50" s="324"/>
      <c r="I50" s="324"/>
      <c r="J50" s="324"/>
      <c r="K50" s="323"/>
      <c r="L50" s="323"/>
      <c r="M50" s="323"/>
      <c r="N50" s="323"/>
      <c r="O50" s="323"/>
      <c r="P50" s="323"/>
      <c r="Q50" s="323"/>
    </row>
    <row r="51" spans="1:17" s="321" customFormat="1" ht="15" customHeight="1" thickBot="1">
      <c r="A51" s="323"/>
      <c r="B51" s="323"/>
      <c r="C51" s="352" t="s">
        <v>171</v>
      </c>
      <c r="D51" s="354" t="s">
        <v>9</v>
      </c>
      <c r="E51" s="323"/>
      <c r="F51" s="323"/>
      <c r="G51" s="324"/>
      <c r="H51" s="324"/>
      <c r="I51" s="324"/>
      <c r="J51" s="324"/>
      <c r="K51" s="323"/>
      <c r="L51" s="323"/>
      <c r="M51" s="323"/>
      <c r="N51" s="323"/>
      <c r="O51" s="323"/>
      <c r="P51" s="323"/>
      <c r="Q51" s="323"/>
    </row>
    <row r="52" spans="1:17" s="321" customFormat="1" ht="15" customHeight="1">
      <c r="A52" s="323"/>
      <c r="B52" s="323"/>
      <c r="C52" s="323"/>
      <c r="D52" s="323"/>
      <c r="E52" s="323"/>
      <c r="F52" s="323"/>
      <c r="G52" s="323"/>
      <c r="H52" s="323"/>
      <c r="I52" s="323"/>
      <c r="J52" s="323"/>
      <c r="K52" s="323"/>
      <c r="L52" s="323"/>
      <c r="M52" s="323"/>
      <c r="N52" s="323"/>
      <c r="O52" s="323"/>
      <c r="P52" s="323"/>
      <c r="Q52" s="323"/>
    </row>
    <row r="53" spans="1:17" s="321" customFormat="1" ht="15" customHeight="1">
      <c r="A53" s="323"/>
      <c r="B53" s="323" t="s">
        <v>393</v>
      </c>
      <c r="C53" s="323"/>
      <c r="D53" s="323"/>
      <c r="E53" s="323"/>
      <c r="F53" s="323"/>
      <c r="G53" s="323"/>
      <c r="H53" s="323"/>
      <c r="I53" s="323"/>
      <c r="J53" s="323"/>
      <c r="K53" s="323"/>
      <c r="L53" s="323"/>
      <c r="M53" s="323"/>
      <c r="N53" s="323"/>
      <c r="O53" s="323"/>
      <c r="P53" s="323"/>
      <c r="Q53" s="323"/>
    </row>
    <row r="54" spans="1:17" s="321" customFormat="1" ht="15" customHeight="1">
      <c r="A54" s="323"/>
      <c r="B54" s="323"/>
      <c r="C54" s="323"/>
      <c r="D54" s="355" t="s">
        <v>394</v>
      </c>
      <c r="E54" s="361" t="s">
        <v>395</v>
      </c>
      <c r="F54" s="323"/>
      <c r="G54" s="323"/>
      <c r="H54" s="323"/>
      <c r="I54" s="323"/>
      <c r="J54" s="323"/>
      <c r="K54" s="323"/>
      <c r="L54" s="323"/>
      <c r="M54" s="323"/>
      <c r="N54" s="323"/>
      <c r="O54" s="323"/>
      <c r="P54" s="323"/>
      <c r="Q54" s="323"/>
    </row>
    <row r="55" spans="1:17" s="321" customFormat="1" ht="15" customHeight="1">
      <c r="A55" s="324"/>
      <c r="B55" s="324"/>
      <c r="C55" s="324"/>
      <c r="D55" s="324"/>
      <c r="E55" s="324"/>
      <c r="F55" s="324"/>
      <c r="G55" s="324"/>
      <c r="H55" s="324"/>
      <c r="I55" s="324"/>
      <c r="J55" s="324"/>
      <c r="K55" s="324"/>
      <c r="L55" s="324"/>
      <c r="M55" s="324"/>
      <c r="N55" s="324"/>
      <c r="O55" s="324"/>
      <c r="P55" s="324"/>
      <c r="Q55" s="324"/>
    </row>
    <row r="56" spans="1:17" s="321" customFormat="1" ht="15" customHeight="1">
      <c r="A56" s="324"/>
      <c r="B56" s="324"/>
      <c r="C56" s="324"/>
      <c r="D56" s="324"/>
      <c r="E56" s="324"/>
      <c r="F56" s="324"/>
      <c r="G56" s="324"/>
      <c r="H56" s="324"/>
      <c r="I56" s="324"/>
      <c r="J56" s="324"/>
      <c r="K56" s="324"/>
      <c r="L56" s="324"/>
      <c r="M56" s="324"/>
      <c r="N56" s="324"/>
      <c r="O56" s="324"/>
      <c r="P56" s="324"/>
      <c r="Q56" s="324"/>
    </row>
    <row r="57" spans="1:17" s="321" customFormat="1" ht="15" customHeight="1">
      <c r="A57" s="324"/>
      <c r="B57" s="324"/>
      <c r="C57" s="324"/>
      <c r="D57" s="324"/>
      <c r="E57" s="324"/>
      <c r="F57" s="324"/>
      <c r="G57" s="324"/>
      <c r="H57" s="324"/>
      <c r="I57" s="324"/>
      <c r="J57" s="324"/>
      <c r="K57" s="324"/>
      <c r="L57" s="324"/>
      <c r="M57" s="324"/>
      <c r="N57" s="324"/>
      <c r="O57" s="324"/>
      <c r="P57" s="324"/>
      <c r="Q57" s="324"/>
    </row>
    <row r="58" spans="1:17" ht="15" customHeight="1">
      <c r="A58" s="356"/>
      <c r="B58" s="356"/>
      <c r="C58" s="356"/>
      <c r="D58" s="356"/>
      <c r="E58" s="356"/>
      <c r="F58" s="356"/>
      <c r="G58" s="356"/>
      <c r="H58" s="356"/>
      <c r="I58" s="356"/>
      <c r="J58" s="356"/>
      <c r="K58" s="356"/>
      <c r="L58" s="356"/>
      <c r="M58" s="356"/>
      <c r="N58" s="356"/>
      <c r="O58" s="356"/>
      <c r="P58" s="356"/>
      <c r="Q58" s="356"/>
    </row>
    <row r="59" spans="1:17" ht="15" customHeight="1">
      <c r="A59" s="356"/>
      <c r="B59" s="356"/>
      <c r="C59" s="356"/>
      <c r="D59" s="356"/>
      <c r="E59" s="356"/>
      <c r="F59" s="356"/>
      <c r="G59" s="356"/>
      <c r="H59" s="356"/>
      <c r="I59" s="356"/>
      <c r="J59" s="356"/>
      <c r="K59" s="356"/>
      <c r="L59" s="356"/>
      <c r="M59" s="356"/>
      <c r="N59" s="356"/>
      <c r="O59" s="356"/>
      <c r="P59" s="356"/>
      <c r="Q59" s="356"/>
    </row>
    <row r="60" spans="1:17" ht="15" customHeight="1"/>
    <row r="61" spans="1:17" ht="15" customHeight="1"/>
    <row r="62" spans="1:17" ht="15" customHeight="1"/>
    <row r="63" spans="1:17" ht="15" customHeight="1"/>
    <row r="64" spans="1:17" ht="15" customHeight="1"/>
  </sheetData>
  <sheetProtection algorithmName="SHA-512" hashValue="pEi5VmGFJiUnFbrgOnpZoypB/3Owm7zaWqtq3ozFAsPXWXUmKASp3jVG3uDOXYPl+mlTdyIdqiS96qAVmuxGKA==" saltValue="BBIH7u7khoozICfH9bNyJQ==" spinCount="100000" sheet="1" objects="1" scenarios="1"/>
  <mergeCells count="27">
    <mergeCell ref="J32:M32"/>
    <mergeCell ref="J33:M33"/>
    <mergeCell ref="J34:M34"/>
    <mergeCell ref="J40:M40"/>
    <mergeCell ref="J35:M35"/>
    <mergeCell ref="J36:M36"/>
    <mergeCell ref="J37:M37"/>
    <mergeCell ref="J38:M38"/>
    <mergeCell ref="J39:M39"/>
    <mergeCell ref="J27:M27"/>
    <mergeCell ref="J28:M28"/>
    <mergeCell ref="J29:M29"/>
    <mergeCell ref="J30:M30"/>
    <mergeCell ref="J31:M31"/>
    <mergeCell ref="J22:M22"/>
    <mergeCell ref="J23:M23"/>
    <mergeCell ref="J24:M24"/>
    <mergeCell ref="J25:M25"/>
    <mergeCell ref="J26:M26"/>
    <mergeCell ref="J21:M21"/>
    <mergeCell ref="A1:P3"/>
    <mergeCell ref="A5:N5"/>
    <mergeCell ref="A4:AB4"/>
    <mergeCell ref="B7:I7"/>
    <mergeCell ref="J13:M13"/>
    <mergeCell ref="J20:M20"/>
    <mergeCell ref="J14:M14"/>
  </mergeCells>
  <phoneticPr fontId="18"/>
  <hyperlinks>
    <hyperlink ref="A5:M5" r:id="rId1" display="For any futher assistance on this tool, please post your question in the following forum Room - E2E Precision Data Converters Forum" xr:uid="{00000000-0004-0000-0100-000000000000}"/>
    <hyperlink ref="E43" location="'Table of Contents'!A1" display="Table of Contents" xr:uid="{00000000-0004-0000-0100-000002000000}"/>
    <hyperlink ref="E44:G44" location="'Table of Contents'!B17" display="Table of Contents" xr:uid="{00000000-0004-0000-0100-000006000000}"/>
    <hyperlink ref="I9" r:id="rId2" xr:uid="{6602C1DF-D79E-4DAB-8750-3F6F362C92AD}"/>
    <hyperlink ref="J23" r:id="rId3" xr:uid="{380DEFC8-6B4F-42B8-9ED4-273FAFD8944A}"/>
    <hyperlink ref="J22" r:id="rId4" xr:uid="{70FA8B6F-22B1-406C-BD44-1427C2CB1FCE}"/>
    <hyperlink ref="J24" r:id="rId5" xr:uid="{EA1CA0ED-69FD-4897-86E0-3A01D3F9CDAB}"/>
    <hyperlink ref="J25" r:id="rId6" xr:uid="{42C5D727-4D41-4772-812E-C04646A86215}"/>
    <hyperlink ref="J26" r:id="rId7" xr:uid="{9A900518-CCE5-45D7-B796-627865E9DAC6}"/>
    <hyperlink ref="J27" r:id="rId8" xr:uid="{CCFF82C2-1DF1-4EE2-B359-B7946B1E1F5A}"/>
    <hyperlink ref="J28" r:id="rId9" xr:uid="{DE0F3DAE-CE94-4E71-B8DF-006BA296FA73}"/>
    <hyperlink ref="J29" r:id="rId10" xr:uid="{393A09C0-EF3F-4B1A-AF88-7A8FF1361789}"/>
    <hyperlink ref="J34" r:id="rId11" xr:uid="{A226CAD0-B341-4D3E-B838-0EF2D784C810}"/>
    <hyperlink ref="J35" r:id="rId12" xr:uid="{65EBFA8C-6AE8-48AB-8C71-2B713D7B6C34}"/>
    <hyperlink ref="J38" r:id="rId13" xr:uid="{EE0BE4DA-E2B4-466C-A140-6CD019C85FFD}"/>
    <hyperlink ref="J39" r:id="rId14" xr:uid="{E3821592-4A89-4C08-AEA2-50A1B72CF4C7}"/>
    <hyperlink ref="J36" r:id="rId15" xr:uid="{2454024A-7D27-4B65-8850-EEE8E47997EF}"/>
    <hyperlink ref="J32" r:id="rId16" xr:uid="{7AB664D0-A406-4420-8E89-714F17DBF1D7}"/>
    <hyperlink ref="J33" r:id="rId17" xr:uid="{E160BEE3-6049-4AC4-9BE0-63E2F2FFAAEC}"/>
    <hyperlink ref="J37" r:id="rId18" xr:uid="{B833EFBE-8DF9-457E-A873-64ED9358AEA8}"/>
    <hyperlink ref="J30" r:id="rId19" xr:uid="{5177D22F-0011-4784-890E-3BD3D696B141}"/>
    <hyperlink ref="J31" r:id="rId20" xr:uid="{1DDDB358-EA4A-4C43-8F16-8BA3F35C7877}"/>
    <hyperlink ref="J40" r:id="rId21" xr:uid="{66AE5F74-535F-4B18-86A8-476F3449D627}"/>
    <hyperlink ref="J21" r:id="rId22" xr:uid="{B4223927-BC6A-479F-86E7-87C5B82A6594}"/>
    <hyperlink ref="E54" location="Directions!A1" display="Directions" xr:uid="{26C9C41D-7C84-4099-8742-1073DCC2A60A}"/>
    <hyperlink ref="J14" r:id="rId23" xr:uid="{0E46719A-0491-4FE1-960F-BA8D5D4ABFB6}"/>
    <hyperlink ref="J15" r:id="rId24" xr:uid="{69BC2F06-FB35-44F0-B836-47F41D95B62E}"/>
    <hyperlink ref="J16" r:id="rId25" xr:uid="{84EA3732-4F12-4CF7-AD74-65B711D39F6B}"/>
    <hyperlink ref="J17" r:id="rId26" xr:uid="{D3B3A33A-A9F2-4477-A1A7-A2FB09663DDA}"/>
    <hyperlink ref="J18" r:id="rId27" xr:uid="{D5EAFACC-3A6F-4C19-B4E4-3835578C2E12}"/>
    <hyperlink ref="J19" r:id="rId28" xr:uid="{20D46A1C-F7E8-4731-9965-2DB8B4D4BD8C}"/>
    <hyperlink ref="G9" r:id="rId29" xr:uid="{B5DFB311-E15E-4668-9BC5-F9F1CD344550}"/>
  </hyperlinks>
  <pageMargins left="0.7" right="0.7" top="0.75" bottom="0.75" header="0.3" footer="0.3"/>
  <pageSetup orientation="portrait" r:id="rId30"/>
  <drawing r:id="rId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028E2-1F01-43C9-BE6D-CF04BEC67F51}">
  <dimension ref="A1:AS76"/>
  <sheetViews>
    <sheetView showGridLines="0" showRowColHeaders="0" zoomScaleNormal="100" workbookViewId="0">
      <selection activeCell="I22" sqref="I22:I23"/>
    </sheetView>
  </sheetViews>
  <sheetFormatPr defaultColWidth="8.73046875" defaultRowHeight="14.25"/>
  <cols>
    <col min="1" max="1" width="8.73046875" style="269"/>
    <col min="2" max="2" width="8.73046875" style="218"/>
    <col min="3" max="3" width="10.73046875" style="218" customWidth="1"/>
    <col min="4" max="4" width="13.265625" style="218" customWidth="1"/>
    <col min="5" max="5" width="10.73046875" style="218" customWidth="1"/>
    <col min="6" max="7" width="8.73046875" style="218"/>
    <col min="8" max="8" width="23.265625" style="218" customWidth="1"/>
    <col min="9" max="9" width="8.73046875" style="218"/>
    <col min="10" max="10" width="8.73046875" style="269"/>
    <col min="11" max="11" width="8.73046875" style="218"/>
    <col min="12" max="12" width="14.33203125" style="218" customWidth="1"/>
    <col min="13" max="15" width="8.73046875" style="218"/>
    <col min="16" max="16" width="14.46484375" style="218" customWidth="1"/>
    <col min="17" max="16384" width="8.73046875" style="218"/>
  </cols>
  <sheetData>
    <row r="1" spans="1:31" ht="15" customHeight="1">
      <c r="A1" s="525"/>
      <c r="B1" s="525"/>
      <c r="C1" s="525"/>
      <c r="D1" s="525"/>
      <c r="E1" s="525"/>
      <c r="F1" s="525"/>
      <c r="G1" s="525"/>
      <c r="H1" s="525"/>
      <c r="I1" s="525"/>
      <c r="J1" s="525"/>
      <c r="K1" s="525"/>
      <c r="L1" s="525"/>
      <c r="M1" s="525"/>
      <c r="N1" s="525"/>
      <c r="O1" s="525"/>
      <c r="P1" s="525"/>
      <c r="Q1" s="525"/>
      <c r="R1" s="525"/>
      <c r="S1" s="525"/>
      <c r="T1" s="525"/>
      <c r="U1" s="525"/>
    </row>
    <row r="2" spans="1:31" ht="15" customHeight="1">
      <c r="A2" s="525"/>
      <c r="B2" s="525"/>
      <c r="C2" s="525"/>
      <c r="D2" s="525"/>
      <c r="E2" s="525"/>
      <c r="F2" s="525"/>
      <c r="G2" s="525"/>
      <c r="H2" s="525"/>
      <c r="I2" s="525"/>
      <c r="J2" s="525"/>
      <c r="K2" s="525"/>
      <c r="L2" s="525"/>
      <c r="M2" s="525"/>
      <c r="N2" s="525"/>
      <c r="O2" s="525"/>
      <c r="P2" s="525"/>
      <c r="Q2" s="525"/>
      <c r="R2" s="525"/>
      <c r="S2" s="525"/>
      <c r="T2" s="525"/>
      <c r="U2" s="525"/>
    </row>
    <row r="3" spans="1:31" ht="15" customHeight="1">
      <c r="A3" s="525"/>
      <c r="B3" s="525"/>
      <c r="C3" s="525"/>
      <c r="D3" s="525"/>
      <c r="E3" s="525"/>
      <c r="F3" s="525"/>
      <c r="G3" s="525"/>
      <c r="H3" s="525"/>
      <c r="I3" s="525"/>
      <c r="J3" s="525"/>
      <c r="K3" s="525"/>
      <c r="L3" s="525"/>
      <c r="M3" s="525"/>
      <c r="N3" s="525"/>
      <c r="O3" s="525"/>
      <c r="P3" s="525"/>
      <c r="Q3" s="525"/>
      <c r="R3" s="525"/>
      <c r="S3" s="525"/>
      <c r="T3" s="525"/>
      <c r="U3" s="525"/>
    </row>
    <row r="4" spans="1:31" ht="15" customHeight="1">
      <c r="A4" s="527"/>
      <c r="B4" s="527"/>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c r="AC4" s="527"/>
      <c r="AD4" s="527"/>
      <c r="AE4" s="527"/>
    </row>
    <row r="5" spans="1:31" ht="15" customHeight="1">
      <c r="A5" s="219"/>
      <c r="B5" s="220"/>
      <c r="C5" s="220"/>
      <c r="D5" s="220"/>
      <c r="E5" s="220"/>
      <c r="F5" s="220"/>
      <c r="G5" s="220"/>
      <c r="H5" s="220"/>
      <c r="I5" s="220"/>
      <c r="J5" s="219"/>
      <c r="K5" s="220"/>
      <c r="L5" s="220"/>
      <c r="M5" s="220"/>
      <c r="N5" s="220"/>
      <c r="O5" s="220"/>
      <c r="P5" s="220"/>
      <c r="Q5" s="220"/>
      <c r="R5" s="220"/>
      <c r="S5" s="220"/>
      <c r="T5" s="220"/>
      <c r="U5" s="220"/>
      <c r="V5" s="220"/>
    </row>
    <row r="6" spans="1:31" ht="15" customHeight="1">
      <c r="A6" s="219"/>
      <c r="B6" s="221" t="s">
        <v>345</v>
      </c>
      <c r="C6" s="222"/>
      <c r="D6" s="222"/>
      <c r="E6" s="222"/>
      <c r="F6" s="220"/>
      <c r="G6" s="220"/>
      <c r="H6" s="220"/>
      <c r="I6" s="220"/>
      <c r="J6" s="219"/>
      <c r="K6" s="551" t="s">
        <v>8</v>
      </c>
      <c r="L6" s="551"/>
      <c r="M6" s="220"/>
      <c r="N6" s="220"/>
      <c r="O6" s="220"/>
      <c r="P6" s="220"/>
      <c r="Q6" s="220"/>
      <c r="R6" s="220"/>
      <c r="S6" s="220"/>
      <c r="T6" s="220"/>
      <c r="U6" s="220"/>
      <c r="V6" s="220"/>
    </row>
    <row r="7" spans="1:31" ht="15" customHeight="1">
      <c r="A7" s="219"/>
      <c r="B7" s="223"/>
      <c r="C7" s="223"/>
      <c r="D7" s="223"/>
      <c r="E7" s="224"/>
      <c r="F7" s="223"/>
      <c r="G7" s="223"/>
      <c r="H7" s="223"/>
      <c r="I7" s="223"/>
      <c r="J7" s="225"/>
      <c r="K7" s="223"/>
      <c r="L7" s="223"/>
      <c r="M7" s="223"/>
      <c r="N7" s="223"/>
      <c r="O7" s="223"/>
      <c r="P7" s="223"/>
      <c r="Q7" s="223"/>
      <c r="S7" s="220"/>
      <c r="T7" s="220"/>
      <c r="U7" s="220"/>
      <c r="V7" s="220"/>
    </row>
    <row r="8" spans="1:31" ht="15" customHeight="1">
      <c r="A8" s="219" t="s">
        <v>307</v>
      </c>
      <c r="B8" s="226" t="s">
        <v>306</v>
      </c>
      <c r="C8" s="224"/>
      <c r="D8" s="224"/>
      <c r="E8" s="224"/>
      <c r="F8" s="227"/>
      <c r="G8" s="224"/>
      <c r="H8" s="224"/>
      <c r="I8" s="224"/>
      <c r="J8" s="228" t="s">
        <v>330</v>
      </c>
      <c r="K8" s="226" t="s">
        <v>0</v>
      </c>
      <c r="L8" s="224"/>
      <c r="M8" s="224"/>
      <c r="N8" s="224"/>
      <c r="O8" s="224"/>
      <c r="P8" s="224"/>
      <c r="Q8" s="224"/>
      <c r="S8" s="220"/>
      <c r="T8" s="220"/>
      <c r="U8" s="220"/>
      <c r="V8" s="220"/>
    </row>
    <row r="9" spans="1:31" ht="15" customHeight="1">
      <c r="A9" s="219"/>
      <c r="B9" s="229" t="s">
        <v>48</v>
      </c>
      <c r="C9" s="230"/>
      <c r="D9" s="231"/>
      <c r="E9" s="232" t="s">
        <v>309</v>
      </c>
      <c r="F9" s="233"/>
      <c r="G9" s="233"/>
      <c r="H9" s="234"/>
      <c r="I9" s="235"/>
      <c r="J9" s="225"/>
      <c r="K9" s="608" t="s">
        <v>164</v>
      </c>
      <c r="L9" s="614"/>
      <c r="M9" s="604" t="s">
        <v>331</v>
      </c>
      <c r="N9" s="604"/>
      <c r="O9" s="604"/>
      <c r="P9" s="605"/>
      <c r="Q9" s="619" t="s">
        <v>336</v>
      </c>
      <c r="R9" s="620"/>
      <c r="S9" s="220"/>
      <c r="T9" s="220"/>
      <c r="U9" s="220"/>
      <c r="V9" s="220"/>
    </row>
    <row r="10" spans="1:31" ht="15" customHeight="1">
      <c r="A10" s="219"/>
      <c r="B10" s="236" t="s">
        <v>49</v>
      </c>
      <c r="C10" s="237"/>
      <c r="D10" s="238"/>
      <c r="E10" s="239" t="s">
        <v>308</v>
      </c>
      <c r="F10" s="240"/>
      <c r="G10" s="240"/>
      <c r="H10" s="241"/>
      <c r="I10" s="240"/>
      <c r="J10" s="225"/>
      <c r="K10" s="612"/>
      <c r="L10" s="615"/>
      <c r="M10" s="606"/>
      <c r="N10" s="606"/>
      <c r="O10" s="606"/>
      <c r="P10" s="607"/>
      <c r="Q10" s="621"/>
      <c r="R10" s="622"/>
      <c r="S10" s="220"/>
      <c r="T10" s="220"/>
      <c r="U10" s="220"/>
      <c r="V10" s="220"/>
    </row>
    <row r="11" spans="1:31" ht="15" customHeight="1">
      <c r="A11" s="219"/>
      <c r="B11" s="229" t="s">
        <v>254</v>
      </c>
      <c r="C11" s="230"/>
      <c r="D11" s="231"/>
      <c r="E11" s="232" t="s">
        <v>310</v>
      </c>
      <c r="F11" s="233"/>
      <c r="G11" s="233"/>
      <c r="H11" s="234"/>
      <c r="I11" s="235"/>
      <c r="J11" s="225"/>
      <c r="K11" s="242" t="s">
        <v>165</v>
      </c>
      <c r="L11" s="243"/>
      <c r="M11" s="244" t="s">
        <v>332</v>
      </c>
      <c r="N11" s="245"/>
      <c r="O11" s="233"/>
      <c r="P11" s="234"/>
      <c r="Q11" s="621"/>
      <c r="R11" s="622"/>
      <c r="S11" s="220"/>
      <c r="T11" s="220"/>
      <c r="U11" s="220"/>
      <c r="V11" s="220"/>
    </row>
    <row r="12" spans="1:31" ht="15" customHeight="1">
      <c r="A12" s="219"/>
      <c r="B12" s="236" t="s">
        <v>251</v>
      </c>
      <c r="C12" s="237"/>
      <c r="D12" s="238"/>
      <c r="E12" s="239" t="s">
        <v>374</v>
      </c>
      <c r="F12" s="240"/>
      <c r="G12" s="240"/>
      <c r="H12" s="241"/>
      <c r="I12" s="240"/>
      <c r="J12" s="225"/>
      <c r="K12" s="608" t="s">
        <v>166</v>
      </c>
      <c r="L12" s="614"/>
      <c r="M12" s="604" t="s">
        <v>333</v>
      </c>
      <c r="N12" s="604"/>
      <c r="O12" s="604"/>
      <c r="P12" s="605"/>
      <c r="Q12" s="621"/>
      <c r="R12" s="622"/>
      <c r="S12" s="220"/>
      <c r="T12" s="220"/>
      <c r="U12" s="220"/>
      <c r="V12" s="220"/>
    </row>
    <row r="13" spans="1:31" ht="15" customHeight="1">
      <c r="A13" s="219"/>
      <c r="B13" s="246" t="s">
        <v>256</v>
      </c>
      <c r="C13" s="230"/>
      <c r="D13" s="231"/>
      <c r="E13" s="232" t="s">
        <v>311</v>
      </c>
      <c r="F13" s="233"/>
      <c r="G13" s="233"/>
      <c r="H13" s="234"/>
      <c r="I13" s="235"/>
      <c r="J13" s="225"/>
      <c r="K13" s="612"/>
      <c r="L13" s="615"/>
      <c r="M13" s="606"/>
      <c r="N13" s="606"/>
      <c r="O13" s="606"/>
      <c r="P13" s="607"/>
      <c r="Q13" s="621"/>
      <c r="R13" s="622"/>
      <c r="S13" s="220"/>
      <c r="T13" s="220"/>
      <c r="U13" s="220"/>
      <c r="V13" s="220"/>
    </row>
    <row r="14" spans="1:31" ht="15" customHeight="1">
      <c r="A14" s="219"/>
      <c r="B14" s="236" t="s">
        <v>257</v>
      </c>
      <c r="C14" s="237"/>
      <c r="D14" s="238"/>
      <c r="E14" s="239" t="s">
        <v>312</v>
      </c>
      <c r="F14" s="240"/>
      <c r="G14" s="240"/>
      <c r="H14" s="241"/>
      <c r="I14" s="240"/>
      <c r="J14" s="225"/>
      <c r="K14" s="242" t="s">
        <v>167</v>
      </c>
      <c r="L14" s="243"/>
      <c r="M14" s="244" t="s">
        <v>334</v>
      </c>
      <c r="N14" s="245"/>
      <c r="O14" s="233"/>
      <c r="P14" s="234"/>
      <c r="Q14" s="621"/>
      <c r="R14" s="622"/>
      <c r="S14" s="220"/>
      <c r="T14" s="220"/>
      <c r="U14" s="220"/>
      <c r="V14" s="220"/>
    </row>
    <row r="15" spans="1:31" ht="15" customHeight="1">
      <c r="A15" s="219"/>
      <c r="B15" s="246" t="s">
        <v>172</v>
      </c>
      <c r="C15" s="230"/>
      <c r="D15" s="231"/>
      <c r="E15" s="232" t="s">
        <v>313</v>
      </c>
      <c r="F15" s="233"/>
      <c r="G15" s="233"/>
      <c r="H15" s="234"/>
      <c r="I15" s="235"/>
      <c r="J15" s="225"/>
      <c r="K15" s="608" t="s">
        <v>1</v>
      </c>
      <c r="L15" s="609"/>
      <c r="M15" s="601" t="s">
        <v>335</v>
      </c>
      <c r="N15" s="593"/>
      <c r="O15" s="593"/>
      <c r="P15" s="594"/>
      <c r="Q15" s="621"/>
      <c r="R15" s="622"/>
      <c r="S15" s="220"/>
      <c r="T15" s="220"/>
      <c r="U15" s="220"/>
      <c r="V15" s="220"/>
    </row>
    <row r="16" spans="1:31" ht="15" customHeight="1">
      <c r="A16" s="219"/>
      <c r="B16" s="247" t="s">
        <v>173</v>
      </c>
      <c r="C16" s="248"/>
      <c r="D16" s="249"/>
      <c r="E16" s="250" t="s">
        <v>314</v>
      </c>
      <c r="F16" s="251"/>
      <c r="G16" s="252"/>
      <c r="H16" s="253"/>
      <c r="I16" s="224"/>
      <c r="J16" s="228"/>
      <c r="K16" s="610"/>
      <c r="L16" s="611"/>
      <c r="M16" s="602"/>
      <c r="N16" s="567"/>
      <c r="O16" s="567"/>
      <c r="P16" s="568"/>
      <c r="Q16" s="621"/>
      <c r="R16" s="622"/>
      <c r="S16" s="220"/>
      <c r="T16" s="220"/>
      <c r="U16" s="220"/>
      <c r="V16" s="220"/>
    </row>
    <row r="17" spans="1:45" ht="15" customHeight="1">
      <c r="A17" s="219"/>
      <c r="B17" s="227"/>
      <c r="C17" s="254"/>
      <c r="D17" s="254"/>
      <c r="E17" s="255"/>
      <c r="F17" s="255"/>
      <c r="G17" s="255"/>
      <c r="H17" s="224"/>
      <c r="I17" s="256"/>
      <c r="J17" s="257"/>
      <c r="K17" s="612"/>
      <c r="L17" s="613"/>
      <c r="M17" s="603"/>
      <c r="N17" s="569"/>
      <c r="O17" s="569"/>
      <c r="P17" s="570"/>
      <c r="Q17" s="621"/>
      <c r="R17" s="622"/>
      <c r="S17" s="258"/>
      <c r="T17" s="258"/>
      <c r="U17" s="258"/>
      <c r="V17" s="220"/>
    </row>
    <row r="18" spans="1:45" ht="15" customHeight="1">
      <c r="A18" s="219" t="s">
        <v>315</v>
      </c>
      <c r="B18" s="259" t="s">
        <v>324</v>
      </c>
      <c r="C18" s="259"/>
      <c r="D18" s="259"/>
      <c r="E18" s="260"/>
      <c r="F18" s="260"/>
      <c r="G18" s="260"/>
      <c r="H18" s="240"/>
      <c r="I18" s="240"/>
      <c r="J18" s="225"/>
      <c r="K18" s="242" t="s">
        <v>2</v>
      </c>
      <c r="L18" s="243"/>
      <c r="M18" s="244" t="s">
        <v>348</v>
      </c>
      <c r="N18" s="245"/>
      <c r="O18" s="233"/>
      <c r="P18" s="234"/>
      <c r="Q18" s="621"/>
      <c r="R18" s="622"/>
      <c r="S18" s="220"/>
      <c r="T18" s="220"/>
      <c r="U18" s="220"/>
      <c r="V18" s="220"/>
    </row>
    <row r="19" spans="1:45" ht="31.5" customHeight="1">
      <c r="A19" s="219"/>
      <c r="B19" s="571" t="s">
        <v>316</v>
      </c>
      <c r="C19" s="572"/>
      <c r="D19" s="573"/>
      <c r="E19" s="574" t="s">
        <v>317</v>
      </c>
      <c r="F19" s="575"/>
      <c r="G19" s="575"/>
      <c r="H19" s="576"/>
      <c r="I19" s="235"/>
      <c r="J19" s="225"/>
      <c r="K19" s="311" t="s">
        <v>168</v>
      </c>
      <c r="L19" s="313"/>
      <c r="M19" s="583" t="s">
        <v>103</v>
      </c>
      <c r="N19" s="584"/>
      <c r="O19" s="584"/>
      <c r="P19" s="585"/>
      <c r="Q19" s="623"/>
      <c r="R19" s="624"/>
      <c r="S19" s="220"/>
      <c r="T19" s="220"/>
      <c r="U19" s="220"/>
      <c r="V19" s="220"/>
    </row>
    <row r="20" spans="1:45" ht="15" customHeight="1">
      <c r="A20" s="219"/>
      <c r="B20" s="311" t="s">
        <v>174</v>
      </c>
      <c r="C20" s="312"/>
      <c r="D20" s="313"/>
      <c r="E20" s="250" t="s">
        <v>318</v>
      </c>
      <c r="F20" s="261"/>
      <c r="G20" s="261"/>
      <c r="H20" s="262"/>
      <c r="I20" s="263"/>
      <c r="J20" s="264"/>
      <c r="K20" s="263"/>
      <c r="L20" s="263"/>
      <c r="M20" s="263"/>
      <c r="N20" s="263"/>
      <c r="O20" s="263"/>
      <c r="P20" s="263"/>
      <c r="Q20" s="220"/>
      <c r="R20" s="220"/>
      <c r="S20" s="220"/>
      <c r="T20" s="220"/>
      <c r="U20" s="220"/>
      <c r="V20" s="220"/>
    </row>
    <row r="21" spans="1:45" ht="15" customHeight="1">
      <c r="A21" s="219"/>
      <c r="B21" s="265"/>
      <c r="C21" s="265"/>
      <c r="D21" s="265"/>
      <c r="E21" s="220"/>
      <c r="F21" s="220"/>
      <c r="G21" s="220"/>
      <c r="H21" s="220"/>
      <c r="J21" s="219" t="s">
        <v>337</v>
      </c>
      <c r="K21" s="266" t="s">
        <v>349</v>
      </c>
      <c r="L21" s="220"/>
      <c r="M21" s="220"/>
      <c r="N21" s="220"/>
      <c r="O21" s="220"/>
      <c r="P21" s="220"/>
      <c r="Q21" s="220"/>
      <c r="R21" s="220"/>
      <c r="S21" s="220"/>
      <c r="T21" s="220"/>
      <c r="U21" s="220"/>
      <c r="V21" s="220"/>
    </row>
    <row r="22" spans="1:45" ht="15" customHeight="1">
      <c r="A22" s="219" t="s">
        <v>319</v>
      </c>
      <c r="B22" s="267" t="s">
        <v>261</v>
      </c>
      <c r="C22" s="268"/>
      <c r="D22" s="268"/>
      <c r="K22" s="270" t="s">
        <v>268</v>
      </c>
      <c r="L22" s="271"/>
      <c r="M22" s="272" t="s">
        <v>344</v>
      </c>
      <c r="N22" s="245"/>
      <c r="O22" s="245"/>
      <c r="P22" s="273"/>
      <c r="Q22" s="595" t="s">
        <v>340</v>
      </c>
      <c r="R22" s="596"/>
      <c r="S22" s="220"/>
      <c r="T22" s="220"/>
      <c r="U22" s="220"/>
      <c r="V22" s="220"/>
    </row>
    <row r="23" spans="1:45" ht="31.5" customHeight="1">
      <c r="A23" s="219"/>
      <c r="B23" s="242" t="s">
        <v>241</v>
      </c>
      <c r="C23" s="274"/>
      <c r="D23" s="274"/>
      <c r="E23" s="577" t="s">
        <v>320</v>
      </c>
      <c r="F23" s="578"/>
      <c r="G23" s="578"/>
      <c r="H23" s="579"/>
      <c r="J23" s="219"/>
      <c r="K23" s="586" t="s">
        <v>338</v>
      </c>
      <c r="L23" s="587"/>
      <c r="M23" s="275" t="s">
        <v>341</v>
      </c>
      <c r="N23" s="275"/>
      <c r="O23" s="275"/>
      <c r="P23" s="276"/>
      <c r="Q23" s="597"/>
      <c r="R23" s="598"/>
      <c r="S23" s="220"/>
      <c r="T23" s="220"/>
      <c r="U23" s="220"/>
      <c r="V23" s="220"/>
    </row>
    <row r="24" spans="1:45" ht="45" customHeight="1">
      <c r="A24" s="219"/>
      <c r="B24" s="307" t="s">
        <v>259</v>
      </c>
      <c r="C24" s="277"/>
      <c r="D24" s="277"/>
      <c r="E24" s="577" t="s">
        <v>321</v>
      </c>
      <c r="F24" s="578"/>
      <c r="G24" s="578"/>
      <c r="H24" s="579"/>
      <c r="J24" s="219"/>
      <c r="K24" s="580" t="s">
        <v>270</v>
      </c>
      <c r="L24" s="582"/>
      <c r="M24" s="315" t="s">
        <v>342</v>
      </c>
      <c r="N24" s="315"/>
      <c r="O24" s="315"/>
      <c r="P24" s="278"/>
      <c r="Q24" s="597"/>
      <c r="R24" s="598"/>
      <c r="S24" s="220"/>
      <c r="T24" s="220"/>
      <c r="U24" s="220"/>
      <c r="V24" s="220"/>
    </row>
    <row r="25" spans="1:45" ht="15" customHeight="1">
      <c r="A25" s="219"/>
      <c r="B25" s="220"/>
      <c r="J25" s="219"/>
      <c r="K25" s="586" t="s">
        <v>271</v>
      </c>
      <c r="L25" s="587"/>
      <c r="M25" s="601" t="s">
        <v>343</v>
      </c>
      <c r="N25" s="593"/>
      <c r="O25" s="593"/>
      <c r="P25" s="594"/>
      <c r="Q25" s="597"/>
      <c r="R25" s="598"/>
      <c r="S25" s="220"/>
      <c r="T25" s="220"/>
      <c r="U25" s="220"/>
      <c r="V25" s="220"/>
    </row>
    <row r="26" spans="1:45" ht="15" customHeight="1">
      <c r="A26" s="219" t="s">
        <v>322</v>
      </c>
      <c r="B26" s="279" t="s">
        <v>325</v>
      </c>
      <c r="C26" s="280"/>
      <c r="D26" s="220"/>
      <c r="E26" s="220"/>
      <c r="F26" s="220"/>
      <c r="G26" s="220"/>
      <c r="H26" s="220"/>
      <c r="I26" s="220"/>
      <c r="J26" s="219"/>
      <c r="K26" s="586"/>
      <c r="L26" s="587"/>
      <c r="M26" s="602"/>
      <c r="N26" s="567"/>
      <c r="O26" s="567"/>
      <c r="P26" s="568"/>
      <c r="Q26" s="597"/>
      <c r="R26" s="598"/>
      <c r="S26" s="220"/>
      <c r="T26" s="220"/>
      <c r="U26" s="220"/>
      <c r="V26" s="220"/>
    </row>
    <row r="27" spans="1:45" ht="15" customHeight="1">
      <c r="A27" s="219"/>
      <c r="B27" s="306" t="s">
        <v>258</v>
      </c>
      <c r="C27" s="281"/>
      <c r="D27" s="282"/>
      <c r="E27" s="283" t="s">
        <v>326</v>
      </c>
      <c r="F27" s="284"/>
      <c r="G27" s="284"/>
      <c r="H27" s="285"/>
      <c r="I27" s="220"/>
      <c r="J27" s="219"/>
      <c r="K27" s="588"/>
      <c r="L27" s="589"/>
      <c r="M27" s="603"/>
      <c r="N27" s="569"/>
      <c r="O27" s="569"/>
      <c r="P27" s="570"/>
      <c r="Q27" s="599"/>
      <c r="R27" s="600"/>
      <c r="S27" s="220"/>
      <c r="T27" s="220"/>
      <c r="U27" s="220"/>
      <c r="V27" s="220"/>
    </row>
    <row r="28" spans="1:45" ht="15" customHeight="1">
      <c r="A28" s="219"/>
      <c r="B28" s="286" t="s">
        <v>255</v>
      </c>
      <c r="C28" s="287"/>
      <c r="D28" s="271"/>
      <c r="E28" s="244" t="s">
        <v>327</v>
      </c>
      <c r="F28" s="272"/>
      <c r="G28" s="272"/>
      <c r="H28" s="288"/>
      <c r="I28" s="220"/>
      <c r="J28" s="219"/>
      <c r="K28" s="220"/>
      <c r="L28" s="220"/>
      <c r="M28" s="220"/>
      <c r="N28" s="220"/>
      <c r="O28" s="220"/>
      <c r="P28" s="220"/>
      <c r="Q28" s="220"/>
      <c r="R28" s="220"/>
      <c r="S28" s="220"/>
      <c r="T28" s="220"/>
      <c r="U28" s="220"/>
      <c r="V28" s="220"/>
    </row>
    <row r="29" spans="1:45" ht="32" customHeight="1">
      <c r="A29" s="219"/>
      <c r="B29" s="580" t="s">
        <v>262</v>
      </c>
      <c r="C29" s="581"/>
      <c r="D29" s="582"/>
      <c r="E29" s="577" t="s">
        <v>328</v>
      </c>
      <c r="F29" s="578"/>
      <c r="G29" s="578"/>
      <c r="H29" s="579"/>
      <c r="I29" s="220"/>
      <c r="J29" s="219"/>
      <c r="K29" s="220"/>
      <c r="L29" s="220"/>
      <c r="M29" s="220"/>
      <c r="N29" s="220"/>
      <c r="O29" s="220"/>
      <c r="P29" s="220"/>
      <c r="Q29" s="220"/>
      <c r="R29" s="220"/>
      <c r="S29" s="220"/>
      <c r="T29" s="220"/>
      <c r="U29" s="220"/>
      <c r="V29" s="220"/>
    </row>
    <row r="30" spans="1:45" ht="32" customHeight="1">
      <c r="A30" s="219"/>
      <c r="B30" s="580" t="s">
        <v>323</v>
      </c>
      <c r="C30" s="581"/>
      <c r="D30" s="582"/>
      <c r="E30" s="577" t="s">
        <v>329</v>
      </c>
      <c r="F30" s="578"/>
      <c r="G30" s="578"/>
      <c r="H30" s="579"/>
      <c r="I30" s="220"/>
      <c r="J30" s="219"/>
      <c r="K30" s="220"/>
      <c r="L30" s="220"/>
      <c r="M30" s="220"/>
      <c r="N30" s="220"/>
      <c r="O30" s="220"/>
      <c r="P30" s="220"/>
      <c r="Q30" s="220"/>
      <c r="R30" s="220"/>
      <c r="S30" s="220"/>
      <c r="T30" s="220"/>
      <c r="U30" s="220"/>
      <c r="V30" s="220"/>
    </row>
    <row r="31" spans="1:45" ht="15" customHeight="1">
      <c r="A31" s="219"/>
      <c r="B31" s="220"/>
      <c r="I31" s="220"/>
      <c r="J31" s="219"/>
      <c r="K31" s="220"/>
      <c r="L31" s="220"/>
      <c r="M31" s="220"/>
      <c r="N31" s="220"/>
      <c r="O31" s="220"/>
      <c r="P31" s="220"/>
      <c r="Q31" s="220"/>
      <c r="R31" s="220"/>
      <c r="S31" s="220"/>
      <c r="T31" s="220"/>
      <c r="U31" s="220"/>
      <c r="V31" s="220"/>
    </row>
    <row r="32" spans="1:45" ht="15" customHeight="1">
      <c r="A32" s="289"/>
      <c r="B32" s="252"/>
      <c r="C32" s="290"/>
      <c r="D32" s="290"/>
      <c r="E32" s="290"/>
      <c r="F32" s="290"/>
      <c r="G32" s="290"/>
      <c r="H32" s="290"/>
      <c r="I32" s="252"/>
      <c r="J32" s="289"/>
      <c r="K32" s="252"/>
      <c r="L32" s="252"/>
      <c r="M32" s="252"/>
      <c r="N32" s="252"/>
      <c r="O32" s="252"/>
      <c r="P32" s="252"/>
      <c r="Q32" s="252"/>
      <c r="R32" s="252"/>
      <c r="S32" s="252"/>
      <c r="T32" s="252"/>
      <c r="U32" s="252"/>
      <c r="V32" s="252"/>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row>
    <row r="33" spans="1:22" ht="15" customHeight="1">
      <c r="A33" s="219"/>
      <c r="B33" s="220"/>
      <c r="I33" s="220"/>
      <c r="J33" s="219"/>
      <c r="K33" s="220"/>
      <c r="L33" s="220"/>
      <c r="M33" s="220"/>
      <c r="N33" s="220"/>
      <c r="O33" s="220"/>
      <c r="P33" s="220"/>
      <c r="Q33" s="220"/>
      <c r="R33" s="220"/>
      <c r="S33" s="220"/>
      <c r="T33" s="220"/>
      <c r="U33" s="220"/>
      <c r="V33" s="220"/>
    </row>
    <row r="34" spans="1:22" ht="15" customHeight="1">
      <c r="A34" s="219"/>
      <c r="B34" s="221" t="s">
        <v>346</v>
      </c>
      <c r="I34" s="220"/>
      <c r="J34" s="219"/>
      <c r="K34" s="220"/>
      <c r="L34" s="220"/>
      <c r="M34" s="220"/>
      <c r="N34" s="220"/>
      <c r="O34" s="220"/>
      <c r="P34" s="220"/>
      <c r="Q34" s="220"/>
      <c r="R34" s="220"/>
      <c r="S34" s="220"/>
      <c r="T34" s="220"/>
      <c r="U34" s="220"/>
      <c r="V34" s="220"/>
    </row>
    <row r="35" spans="1:22" ht="15" customHeight="1">
      <c r="A35" s="219"/>
      <c r="B35" s="220"/>
      <c r="C35" s="220"/>
      <c r="D35" s="220"/>
      <c r="E35" s="220"/>
      <c r="F35" s="220"/>
      <c r="G35" s="220"/>
      <c r="H35" s="220"/>
      <c r="I35" s="220"/>
      <c r="J35" s="219"/>
      <c r="K35" s="220"/>
      <c r="L35" s="220"/>
      <c r="M35" s="220"/>
      <c r="N35" s="220"/>
      <c r="O35" s="220"/>
      <c r="P35" s="220"/>
      <c r="Q35" s="220"/>
      <c r="R35" s="220"/>
      <c r="S35" s="220"/>
      <c r="T35" s="220"/>
      <c r="U35" s="220"/>
      <c r="V35" s="220"/>
    </row>
    <row r="36" spans="1:22" ht="15" customHeight="1">
      <c r="A36" s="219" t="s">
        <v>307</v>
      </c>
      <c r="B36" s="226" t="s">
        <v>306</v>
      </c>
      <c r="C36" s="220"/>
      <c r="D36" s="220"/>
      <c r="E36" s="220"/>
      <c r="F36" s="220"/>
      <c r="G36" s="220"/>
      <c r="H36" s="220"/>
      <c r="I36" s="220"/>
      <c r="J36" s="219" t="s">
        <v>322</v>
      </c>
      <c r="K36" s="279" t="s">
        <v>356</v>
      </c>
      <c r="L36" s="220"/>
      <c r="M36" s="220"/>
      <c r="N36" s="220"/>
      <c r="O36" s="220"/>
      <c r="P36" s="220"/>
      <c r="Q36" s="220"/>
      <c r="R36" s="220"/>
      <c r="S36" s="220"/>
      <c r="T36" s="220"/>
      <c r="U36" s="220"/>
      <c r="V36" s="220"/>
    </row>
    <row r="37" spans="1:22" ht="15" customHeight="1">
      <c r="A37" s="219"/>
      <c r="B37" s="552" t="s">
        <v>399</v>
      </c>
      <c r="C37" s="553"/>
      <c r="D37" s="554"/>
      <c r="E37" s="558" t="s">
        <v>400</v>
      </c>
      <c r="F37" s="559"/>
      <c r="G37" s="559"/>
      <c r="H37" s="560"/>
      <c r="I37" s="220"/>
      <c r="J37" s="219"/>
      <c r="K37" s="286" t="s">
        <v>97</v>
      </c>
      <c r="L37" s="315"/>
      <c r="M37" s="315"/>
      <c r="N37" s="314" t="s">
        <v>357</v>
      </c>
      <c r="O37" s="315"/>
      <c r="P37" s="315"/>
      <c r="Q37" s="316"/>
      <c r="R37" s="220"/>
      <c r="S37" s="220"/>
      <c r="T37" s="220"/>
      <c r="U37" s="220"/>
      <c r="V37" s="220"/>
    </row>
    <row r="38" spans="1:22" ht="15" customHeight="1">
      <c r="A38" s="219"/>
      <c r="B38" s="590"/>
      <c r="C38" s="591"/>
      <c r="D38" s="592"/>
      <c r="E38" s="561"/>
      <c r="F38" s="562"/>
      <c r="G38" s="562"/>
      <c r="H38" s="563"/>
      <c r="I38" s="220"/>
      <c r="J38" s="219"/>
      <c r="K38" s="308" t="s">
        <v>288</v>
      </c>
      <c r="L38" s="275"/>
      <c r="M38" s="275"/>
      <c r="N38" s="291" t="s">
        <v>358</v>
      </c>
      <c r="O38" s="275"/>
      <c r="P38" s="275"/>
      <c r="Q38" s="292"/>
      <c r="R38" s="220"/>
      <c r="S38" s="220"/>
      <c r="T38" s="220"/>
      <c r="U38" s="220"/>
      <c r="V38" s="220"/>
    </row>
    <row r="39" spans="1:22" ht="15" customHeight="1">
      <c r="A39" s="219"/>
      <c r="B39" s="555"/>
      <c r="C39" s="556"/>
      <c r="D39" s="557"/>
      <c r="E39" s="564"/>
      <c r="F39" s="565"/>
      <c r="G39" s="565"/>
      <c r="H39" s="566"/>
      <c r="I39" s="220"/>
      <c r="J39" s="219"/>
      <c r="K39" s="286" t="s">
        <v>289</v>
      </c>
      <c r="L39" s="315"/>
      <c r="M39" s="315"/>
      <c r="N39" s="314" t="s">
        <v>359</v>
      </c>
      <c r="O39" s="315"/>
      <c r="P39" s="315"/>
      <c r="Q39" s="316"/>
      <c r="S39" s="220"/>
      <c r="T39" s="220"/>
      <c r="U39" s="220"/>
      <c r="V39" s="220"/>
    </row>
    <row r="40" spans="1:22" ht="15" customHeight="1">
      <c r="A40" s="219"/>
      <c r="B40" s="552" t="s">
        <v>398</v>
      </c>
      <c r="C40" s="553"/>
      <c r="D40" s="554"/>
      <c r="E40" s="552" t="s">
        <v>401</v>
      </c>
      <c r="F40" s="553"/>
      <c r="G40" s="553"/>
      <c r="H40" s="554"/>
      <c r="I40" s="220"/>
      <c r="J40" s="219"/>
      <c r="K40" s="552" t="s">
        <v>164</v>
      </c>
      <c r="L40" s="553"/>
      <c r="M40" s="275"/>
      <c r="N40" s="602" t="s">
        <v>360</v>
      </c>
      <c r="O40" s="567"/>
      <c r="P40" s="567"/>
      <c r="Q40" s="568"/>
      <c r="S40" s="220"/>
      <c r="T40" s="220"/>
      <c r="U40" s="220"/>
      <c r="V40" s="220"/>
    </row>
    <row r="41" spans="1:22" ht="15" customHeight="1">
      <c r="A41" s="219"/>
      <c r="B41" s="555"/>
      <c r="C41" s="556"/>
      <c r="D41" s="557"/>
      <c r="E41" s="555"/>
      <c r="F41" s="556"/>
      <c r="G41" s="556"/>
      <c r="H41" s="557"/>
      <c r="I41" s="220"/>
      <c r="J41" s="219"/>
      <c r="K41" s="555"/>
      <c r="L41" s="556"/>
      <c r="M41" s="275"/>
      <c r="N41" s="602"/>
      <c r="O41" s="567"/>
      <c r="P41" s="567"/>
      <c r="Q41" s="568"/>
      <c r="R41" s="220"/>
      <c r="S41" s="220"/>
      <c r="T41" s="220"/>
      <c r="U41" s="220"/>
      <c r="V41" s="220"/>
    </row>
    <row r="42" spans="1:22" ht="15" customHeight="1">
      <c r="A42" s="219"/>
      <c r="B42" s="552" t="s">
        <v>283</v>
      </c>
      <c r="C42" s="553"/>
      <c r="D42" s="554"/>
      <c r="E42" s="593" t="s">
        <v>375</v>
      </c>
      <c r="F42" s="593"/>
      <c r="G42" s="593"/>
      <c r="H42" s="594"/>
      <c r="I42" s="220"/>
      <c r="J42" s="219"/>
      <c r="K42" s="286" t="s">
        <v>165</v>
      </c>
      <c r="L42" s="315"/>
      <c r="M42" s="315"/>
      <c r="N42" s="314" t="s">
        <v>361</v>
      </c>
      <c r="O42" s="315"/>
      <c r="P42" s="315"/>
      <c r="Q42" s="316"/>
      <c r="R42" s="220"/>
      <c r="S42" s="220"/>
      <c r="T42" s="220"/>
      <c r="U42" s="220"/>
      <c r="V42" s="220"/>
    </row>
    <row r="43" spans="1:22" ht="15" customHeight="1">
      <c r="A43" s="219"/>
      <c r="B43" s="555"/>
      <c r="C43" s="556"/>
      <c r="D43" s="557"/>
      <c r="E43" s="569"/>
      <c r="F43" s="569"/>
      <c r="G43" s="569"/>
      <c r="H43" s="570"/>
      <c r="I43" s="220"/>
      <c r="J43" s="219"/>
      <c r="K43" s="308" t="s">
        <v>166</v>
      </c>
      <c r="L43" s="275"/>
      <c r="M43" s="275"/>
      <c r="N43" s="291" t="s">
        <v>362</v>
      </c>
      <c r="O43" s="275"/>
      <c r="P43" s="275"/>
      <c r="Q43" s="292"/>
      <c r="R43" s="220"/>
      <c r="S43" s="220"/>
      <c r="T43" s="220"/>
      <c r="U43" s="220"/>
      <c r="V43" s="220"/>
    </row>
    <row r="44" spans="1:22" ht="15" customHeight="1">
      <c r="A44" s="219"/>
      <c r="B44" s="308" t="s">
        <v>284</v>
      </c>
      <c r="C44" s="309"/>
      <c r="D44" s="310"/>
      <c r="E44" s="616" t="s">
        <v>376</v>
      </c>
      <c r="F44" s="617"/>
      <c r="G44" s="617"/>
      <c r="H44" s="618"/>
      <c r="I44" s="220"/>
      <c r="J44" s="219"/>
      <c r="K44" s="286" t="s">
        <v>167</v>
      </c>
      <c r="L44" s="315"/>
      <c r="M44" s="315"/>
      <c r="N44" s="314" t="s">
        <v>363</v>
      </c>
      <c r="O44" s="272"/>
      <c r="P44" s="272"/>
      <c r="Q44" s="288"/>
      <c r="R44" s="220"/>
      <c r="S44" s="220"/>
      <c r="T44" s="220"/>
      <c r="U44" s="220"/>
      <c r="V44" s="220"/>
    </row>
    <row r="45" spans="1:22" ht="15" customHeight="1">
      <c r="A45" s="219"/>
      <c r="B45" s="286" t="s">
        <v>285</v>
      </c>
      <c r="C45" s="293"/>
      <c r="D45" s="294"/>
      <c r="E45" s="315" t="s">
        <v>347</v>
      </c>
      <c r="F45" s="315"/>
      <c r="G45" s="315"/>
      <c r="H45" s="316"/>
      <c r="I45" s="220"/>
      <c r="J45" s="218"/>
      <c r="R45" s="220"/>
      <c r="S45" s="220"/>
      <c r="T45" s="220"/>
      <c r="U45" s="220"/>
      <c r="V45" s="220"/>
    </row>
    <row r="46" spans="1:22" ht="15" customHeight="1">
      <c r="A46" s="219"/>
      <c r="B46" s="308" t="s">
        <v>286</v>
      </c>
      <c r="C46" s="309"/>
      <c r="D46" s="310"/>
      <c r="E46" s="583" t="s">
        <v>377</v>
      </c>
      <c r="F46" s="584"/>
      <c r="G46" s="584"/>
      <c r="H46" s="585"/>
      <c r="I46" s="220"/>
      <c r="J46" s="219" t="s">
        <v>364</v>
      </c>
      <c r="K46" s="279" t="s">
        <v>389</v>
      </c>
      <c r="L46" s="220"/>
      <c r="M46" s="220"/>
      <c r="R46" s="220"/>
      <c r="S46" s="220"/>
      <c r="T46" s="220"/>
      <c r="U46" s="220"/>
      <c r="V46" s="220"/>
    </row>
    <row r="47" spans="1:22" ht="15" customHeight="1">
      <c r="A47" s="219"/>
      <c r="B47" s="286" t="s">
        <v>287</v>
      </c>
      <c r="C47" s="293"/>
      <c r="D47" s="294"/>
      <c r="E47" s="583" t="s">
        <v>378</v>
      </c>
      <c r="F47" s="584"/>
      <c r="G47" s="584"/>
      <c r="H47" s="585"/>
      <c r="I47" s="220"/>
      <c r="J47" s="219"/>
      <c r="K47" s="295" t="s">
        <v>353</v>
      </c>
      <c r="L47" s="220"/>
      <c r="M47" s="220"/>
      <c r="N47" s="220"/>
      <c r="R47" s="220"/>
      <c r="S47" s="220"/>
      <c r="T47" s="220"/>
      <c r="U47" s="220"/>
      <c r="V47" s="220"/>
    </row>
    <row r="48" spans="1:22" ht="15" customHeight="1">
      <c r="A48" s="219"/>
      <c r="B48" s="220"/>
      <c r="C48" s="220"/>
      <c r="D48" s="220"/>
      <c r="E48" s="220"/>
      <c r="F48" s="220"/>
      <c r="G48" s="220"/>
      <c r="H48" s="220"/>
      <c r="I48" s="220"/>
      <c r="J48" s="219"/>
      <c r="R48" s="220"/>
      <c r="S48" s="220"/>
      <c r="T48" s="220"/>
      <c r="U48" s="220"/>
      <c r="V48" s="220"/>
    </row>
    <row r="49" spans="1:22" ht="15" customHeight="1">
      <c r="A49" s="219" t="s">
        <v>315</v>
      </c>
      <c r="B49" s="296" t="s">
        <v>350</v>
      </c>
      <c r="C49" s="220"/>
      <c r="D49" s="220"/>
      <c r="E49" s="220"/>
      <c r="F49" s="220"/>
      <c r="G49" s="220"/>
      <c r="H49" s="220"/>
      <c r="I49" s="220"/>
      <c r="J49" s="219" t="s">
        <v>337</v>
      </c>
      <c r="K49" s="279" t="s">
        <v>365</v>
      </c>
      <c r="L49" s="220"/>
      <c r="M49" s="220"/>
      <c r="N49" s="220"/>
      <c r="O49" s="220"/>
      <c r="P49" s="220"/>
      <c r="Q49" s="220"/>
      <c r="R49" s="220"/>
      <c r="S49" s="220"/>
      <c r="T49" s="220"/>
      <c r="U49" s="220"/>
      <c r="V49" s="220"/>
    </row>
    <row r="50" spans="1:22" ht="15" customHeight="1">
      <c r="A50" s="219"/>
      <c r="B50" s="295" t="s">
        <v>353</v>
      </c>
      <c r="C50" s="220"/>
      <c r="D50" s="220"/>
      <c r="E50" s="220"/>
      <c r="F50" s="220"/>
      <c r="G50" s="220"/>
      <c r="H50" s="220"/>
      <c r="I50" s="220"/>
      <c r="J50" s="219"/>
      <c r="K50" s="297" t="s">
        <v>368</v>
      </c>
      <c r="R50" s="220"/>
      <c r="S50" s="220"/>
      <c r="T50" s="220"/>
      <c r="U50" s="220"/>
      <c r="V50" s="220"/>
    </row>
    <row r="51" spans="1:22">
      <c r="A51" s="219"/>
      <c r="B51" s="220"/>
      <c r="C51" s="220"/>
      <c r="D51" s="220"/>
      <c r="E51" s="220"/>
      <c r="F51" s="220"/>
      <c r="G51" s="220"/>
      <c r="H51" s="220"/>
      <c r="I51" s="220"/>
      <c r="J51" s="219"/>
      <c r="K51" s="298" t="s">
        <v>366</v>
      </c>
      <c r="L51" s="299"/>
      <c r="M51" s="299"/>
      <c r="N51" s="299"/>
      <c r="O51" s="299"/>
      <c r="P51" s="299"/>
      <c r="Q51" s="300"/>
      <c r="R51" s="220"/>
      <c r="S51" s="220"/>
      <c r="T51" s="220"/>
      <c r="U51" s="220"/>
      <c r="V51" s="220"/>
    </row>
    <row r="52" spans="1:22">
      <c r="A52" s="219" t="s">
        <v>351</v>
      </c>
      <c r="B52" s="279" t="s">
        <v>352</v>
      </c>
      <c r="C52" s="220"/>
      <c r="D52" s="220"/>
      <c r="E52" s="220"/>
      <c r="F52" s="220"/>
      <c r="G52" s="220"/>
      <c r="H52" s="220"/>
      <c r="I52" s="220"/>
      <c r="J52" s="219"/>
      <c r="K52" s="301" t="s">
        <v>304</v>
      </c>
      <c r="L52" s="301"/>
      <c r="M52" s="302" t="s">
        <v>367</v>
      </c>
      <c r="N52" s="245"/>
      <c r="O52" s="303"/>
      <c r="P52" s="303"/>
      <c r="Q52" s="278"/>
      <c r="R52" s="220"/>
      <c r="S52" s="220"/>
      <c r="T52" s="220"/>
      <c r="U52" s="220"/>
      <c r="V52" s="220"/>
    </row>
    <row r="53" spans="1:22">
      <c r="A53" s="219"/>
      <c r="B53" s="286" t="s">
        <v>281</v>
      </c>
      <c r="C53" s="293"/>
      <c r="D53" s="294"/>
      <c r="E53" s="315" t="s">
        <v>354</v>
      </c>
      <c r="F53" s="315"/>
      <c r="G53" s="315"/>
      <c r="H53" s="316"/>
      <c r="I53" s="220"/>
      <c r="J53" s="219"/>
      <c r="K53" s="304" t="s">
        <v>298</v>
      </c>
      <c r="L53" s="304"/>
      <c r="M53" s="255" t="s">
        <v>369</v>
      </c>
      <c r="N53" s="255"/>
      <c r="O53" s="224"/>
      <c r="P53" s="224"/>
      <c r="Q53" s="276"/>
      <c r="R53" s="220"/>
      <c r="S53" s="220"/>
      <c r="T53" s="220"/>
      <c r="U53" s="220"/>
      <c r="V53" s="220"/>
    </row>
    <row r="54" spans="1:22">
      <c r="A54" s="219"/>
      <c r="B54" s="552" t="s">
        <v>282</v>
      </c>
      <c r="C54" s="553"/>
      <c r="D54" s="554"/>
      <c r="E54" s="567" t="s">
        <v>355</v>
      </c>
      <c r="F54" s="567"/>
      <c r="G54" s="567"/>
      <c r="H54" s="568"/>
      <c r="I54" s="220"/>
      <c r="J54" s="219"/>
      <c r="K54" s="305" t="s">
        <v>303</v>
      </c>
      <c r="L54" s="305"/>
      <c r="M54" s="302" t="s">
        <v>371</v>
      </c>
      <c r="N54" s="245"/>
      <c r="O54" s="303"/>
      <c r="P54" s="303"/>
      <c r="Q54" s="278"/>
      <c r="R54" s="220"/>
      <c r="S54" s="220"/>
      <c r="T54" s="220"/>
      <c r="U54" s="220"/>
      <c r="V54" s="220"/>
    </row>
    <row r="55" spans="1:22">
      <c r="A55" s="219"/>
      <c r="B55" s="555"/>
      <c r="C55" s="556"/>
      <c r="D55" s="557"/>
      <c r="E55" s="569"/>
      <c r="F55" s="569"/>
      <c r="G55" s="569"/>
      <c r="H55" s="570"/>
      <c r="I55" s="220"/>
      <c r="J55" s="219"/>
      <c r="K55" s="305" t="s">
        <v>370</v>
      </c>
      <c r="L55" s="305"/>
      <c r="M55" s="224" t="s">
        <v>372</v>
      </c>
      <c r="N55" s="255"/>
      <c r="O55" s="224"/>
      <c r="P55" s="224"/>
      <c r="Q55" s="276"/>
      <c r="R55" s="220"/>
      <c r="S55" s="220"/>
      <c r="T55" s="220"/>
      <c r="U55" s="220"/>
      <c r="V55" s="220"/>
    </row>
    <row r="56" spans="1:22">
      <c r="A56" s="219"/>
      <c r="B56" s="220"/>
      <c r="C56" s="220"/>
      <c r="D56" s="220"/>
      <c r="E56" s="220"/>
      <c r="F56" s="220"/>
      <c r="G56" s="220"/>
      <c r="H56" s="220"/>
      <c r="I56" s="220"/>
      <c r="J56" s="219"/>
      <c r="K56" s="305" t="s">
        <v>299</v>
      </c>
      <c r="L56" s="305"/>
      <c r="M56" s="302" t="s">
        <v>373</v>
      </c>
      <c r="N56" s="245"/>
      <c r="O56" s="303"/>
      <c r="P56" s="303"/>
      <c r="Q56" s="278"/>
      <c r="R56" s="220"/>
      <c r="S56" s="220"/>
      <c r="T56" s="220"/>
      <c r="U56" s="220"/>
      <c r="V56" s="220"/>
    </row>
    <row r="57" spans="1:22">
      <c r="A57" s="218"/>
      <c r="I57" s="220"/>
      <c r="J57" s="218"/>
      <c r="R57" s="220"/>
      <c r="S57" s="220"/>
      <c r="T57" s="220"/>
      <c r="U57" s="220"/>
      <c r="V57" s="220"/>
    </row>
    <row r="58" spans="1:22">
      <c r="A58" s="218"/>
      <c r="I58" s="220"/>
      <c r="J58" s="218"/>
      <c r="R58" s="220"/>
      <c r="S58" s="220"/>
      <c r="T58" s="220"/>
      <c r="U58" s="220"/>
      <c r="V58" s="220"/>
    </row>
    <row r="59" spans="1:22">
      <c r="A59" s="218"/>
      <c r="I59" s="220"/>
      <c r="J59" s="218"/>
      <c r="R59" s="220"/>
      <c r="S59" s="220"/>
      <c r="T59" s="220"/>
      <c r="U59" s="220"/>
      <c r="V59" s="220"/>
    </row>
    <row r="60" spans="1:22">
      <c r="A60" s="218"/>
      <c r="I60" s="220"/>
      <c r="J60" s="218"/>
      <c r="R60" s="220"/>
      <c r="S60" s="220"/>
      <c r="T60" s="220"/>
      <c r="U60" s="220"/>
      <c r="V60" s="220"/>
    </row>
    <row r="61" spans="1:22">
      <c r="A61" s="218"/>
      <c r="I61" s="220"/>
      <c r="J61" s="218"/>
      <c r="R61" s="220"/>
      <c r="S61" s="220"/>
      <c r="T61" s="220"/>
      <c r="U61" s="220"/>
      <c r="V61" s="220"/>
    </row>
    <row r="62" spans="1:22" ht="14.55" customHeight="1">
      <c r="A62" s="218"/>
      <c r="I62" s="220"/>
      <c r="J62" s="219"/>
      <c r="K62" s="220"/>
      <c r="L62" s="220"/>
      <c r="M62" s="220"/>
      <c r="N62" s="220"/>
      <c r="O62" s="220"/>
      <c r="P62" s="220"/>
      <c r="Q62" s="220"/>
      <c r="R62" s="220"/>
      <c r="S62" s="220"/>
      <c r="T62" s="220"/>
      <c r="U62" s="220"/>
      <c r="V62" s="220"/>
    </row>
    <row r="63" spans="1:22">
      <c r="A63" s="218"/>
      <c r="I63" s="220"/>
      <c r="J63" s="219"/>
      <c r="K63" s="220"/>
      <c r="L63" s="220"/>
      <c r="M63" s="220"/>
      <c r="N63" s="220"/>
      <c r="O63" s="220"/>
      <c r="P63" s="220"/>
      <c r="Q63" s="220"/>
      <c r="R63" s="220"/>
      <c r="S63" s="220"/>
      <c r="T63" s="220"/>
      <c r="U63" s="220"/>
      <c r="V63" s="220"/>
    </row>
    <row r="64" spans="1:22">
      <c r="A64" s="218"/>
      <c r="I64" s="220"/>
      <c r="J64" s="219"/>
      <c r="K64" s="220"/>
      <c r="L64" s="220"/>
      <c r="M64" s="220"/>
      <c r="N64" s="220"/>
      <c r="O64" s="220"/>
      <c r="P64" s="220"/>
      <c r="Q64" s="220"/>
      <c r="R64" s="220"/>
      <c r="S64" s="220"/>
      <c r="T64" s="220"/>
      <c r="U64" s="220"/>
      <c r="V64" s="220"/>
    </row>
    <row r="65" spans="1:22" ht="14.55" customHeight="1">
      <c r="A65" s="218"/>
      <c r="I65" s="220"/>
      <c r="J65" s="219"/>
      <c r="K65" s="220"/>
      <c r="L65" s="220"/>
      <c r="M65" s="220"/>
      <c r="N65" s="220"/>
      <c r="O65" s="220"/>
      <c r="P65" s="220"/>
      <c r="Q65" s="220"/>
      <c r="R65" s="220"/>
      <c r="S65" s="220"/>
      <c r="T65" s="220"/>
      <c r="U65" s="220"/>
      <c r="V65" s="220"/>
    </row>
    <row r="66" spans="1:22">
      <c r="A66" s="219"/>
      <c r="B66" s="224"/>
      <c r="C66" s="224"/>
      <c r="D66" s="224"/>
      <c r="E66" s="224"/>
      <c r="F66" s="224"/>
      <c r="G66" s="224"/>
      <c r="H66" s="224"/>
      <c r="I66" s="220"/>
      <c r="J66" s="219"/>
      <c r="K66" s="220"/>
      <c r="L66" s="220"/>
      <c r="M66" s="220"/>
      <c r="N66" s="220"/>
      <c r="O66" s="220"/>
      <c r="P66" s="220"/>
      <c r="Q66" s="220"/>
      <c r="R66" s="220"/>
      <c r="S66" s="220"/>
      <c r="T66" s="220"/>
      <c r="U66" s="220"/>
      <c r="V66" s="220"/>
    </row>
    <row r="67" spans="1:22">
      <c r="F67" s="220"/>
      <c r="G67" s="220"/>
      <c r="H67" s="220"/>
      <c r="I67" s="220"/>
      <c r="J67" s="219"/>
      <c r="K67" s="220"/>
      <c r="L67" s="220"/>
      <c r="M67" s="220"/>
      <c r="N67" s="220"/>
      <c r="O67" s="220"/>
      <c r="P67" s="220"/>
      <c r="Q67" s="220"/>
      <c r="R67" s="220"/>
      <c r="S67" s="220"/>
      <c r="T67" s="220"/>
      <c r="U67" s="220"/>
      <c r="V67" s="220"/>
    </row>
    <row r="68" spans="1:22">
      <c r="F68" s="220"/>
      <c r="G68" s="220"/>
      <c r="H68" s="220"/>
      <c r="I68" s="220"/>
      <c r="J68" s="219"/>
      <c r="K68" s="220"/>
      <c r="L68" s="220"/>
      <c r="M68" s="220"/>
      <c r="N68" s="220"/>
      <c r="O68" s="220"/>
      <c r="P68" s="220"/>
      <c r="Q68" s="220"/>
      <c r="R68" s="220"/>
      <c r="S68" s="220"/>
      <c r="T68" s="220"/>
      <c r="U68" s="220"/>
      <c r="V68" s="220"/>
    </row>
    <row r="69" spans="1:22">
      <c r="A69" s="219"/>
      <c r="B69" s="220"/>
      <c r="C69" s="220"/>
      <c r="D69" s="220"/>
      <c r="E69" s="220"/>
      <c r="F69" s="220"/>
      <c r="G69" s="220"/>
      <c r="H69" s="220"/>
      <c r="I69" s="220"/>
      <c r="J69" s="219"/>
      <c r="K69" s="220"/>
      <c r="L69" s="220"/>
      <c r="M69" s="220"/>
      <c r="N69" s="220"/>
      <c r="O69" s="220"/>
      <c r="P69" s="220"/>
      <c r="Q69" s="220"/>
      <c r="R69" s="220"/>
      <c r="S69" s="220"/>
      <c r="T69" s="220"/>
      <c r="U69" s="220"/>
      <c r="V69" s="220"/>
    </row>
    <row r="70" spans="1:22">
      <c r="A70" s="219"/>
      <c r="B70" s="220"/>
      <c r="C70" s="220"/>
      <c r="D70" s="220"/>
      <c r="E70" s="220"/>
      <c r="F70" s="220"/>
      <c r="G70" s="220"/>
      <c r="H70" s="220"/>
      <c r="I70" s="220"/>
      <c r="J70" s="219"/>
      <c r="K70" s="220"/>
      <c r="L70" s="220"/>
      <c r="M70" s="220"/>
      <c r="N70" s="220"/>
      <c r="O70" s="220"/>
      <c r="P70" s="220"/>
      <c r="Q70" s="220"/>
      <c r="R70" s="220"/>
      <c r="S70" s="220"/>
      <c r="T70" s="220"/>
      <c r="U70" s="220"/>
      <c r="V70" s="220"/>
    </row>
    <row r="71" spans="1:22">
      <c r="A71" s="219"/>
      <c r="B71" s="220"/>
      <c r="C71" s="220"/>
      <c r="D71" s="220"/>
      <c r="E71" s="220"/>
      <c r="F71" s="220"/>
      <c r="G71" s="220"/>
      <c r="H71" s="220"/>
      <c r="I71" s="220"/>
      <c r="J71" s="219"/>
      <c r="K71" s="220"/>
      <c r="L71" s="220"/>
      <c r="M71" s="220"/>
      <c r="N71" s="220"/>
      <c r="O71" s="220"/>
      <c r="P71" s="220"/>
      <c r="Q71" s="220"/>
      <c r="R71" s="220"/>
      <c r="S71" s="220"/>
      <c r="T71" s="220"/>
      <c r="U71" s="220"/>
      <c r="V71" s="220"/>
    </row>
    <row r="72" spans="1:22">
      <c r="A72" s="219"/>
      <c r="B72" s="220"/>
      <c r="C72" s="220"/>
      <c r="D72" s="220"/>
      <c r="E72" s="220"/>
      <c r="F72" s="220"/>
      <c r="G72" s="220"/>
      <c r="H72" s="220"/>
      <c r="I72" s="220"/>
      <c r="J72" s="219"/>
      <c r="K72" s="220"/>
      <c r="L72" s="220"/>
      <c r="M72" s="220"/>
      <c r="N72" s="220"/>
      <c r="O72" s="220"/>
      <c r="P72" s="220"/>
      <c r="Q72" s="220"/>
      <c r="R72" s="220"/>
      <c r="S72" s="220"/>
      <c r="T72" s="220"/>
      <c r="U72" s="220"/>
      <c r="V72" s="220"/>
    </row>
    <row r="73" spans="1:22">
      <c r="A73" s="219"/>
      <c r="B73" s="220"/>
      <c r="C73" s="220"/>
      <c r="D73" s="220"/>
      <c r="E73" s="220"/>
      <c r="F73" s="220"/>
      <c r="G73" s="220"/>
      <c r="H73" s="220"/>
      <c r="I73" s="220"/>
      <c r="J73" s="219"/>
      <c r="K73" s="220"/>
      <c r="L73" s="220"/>
      <c r="M73" s="220"/>
      <c r="N73" s="220"/>
      <c r="O73" s="220"/>
      <c r="P73" s="220"/>
      <c r="Q73" s="220"/>
      <c r="R73" s="220"/>
      <c r="S73" s="220"/>
      <c r="T73" s="220"/>
      <c r="U73" s="220"/>
      <c r="V73" s="220"/>
    </row>
    <row r="74" spans="1:22">
      <c r="A74" s="219"/>
      <c r="B74" s="220"/>
      <c r="C74" s="220"/>
      <c r="D74" s="220"/>
      <c r="E74" s="220"/>
      <c r="F74" s="220"/>
      <c r="G74" s="220"/>
      <c r="H74" s="220"/>
      <c r="I74" s="220"/>
      <c r="J74" s="219"/>
      <c r="K74" s="220"/>
      <c r="L74" s="220"/>
      <c r="M74" s="220"/>
      <c r="N74" s="220"/>
      <c r="O74" s="220"/>
      <c r="P74" s="220"/>
      <c r="Q74" s="220"/>
      <c r="R74" s="220"/>
      <c r="S74" s="220"/>
      <c r="T74" s="220"/>
      <c r="U74" s="220"/>
      <c r="V74" s="220"/>
    </row>
    <row r="75" spans="1:22">
      <c r="A75" s="219"/>
      <c r="B75" s="220"/>
      <c r="C75" s="220"/>
      <c r="D75" s="220"/>
      <c r="E75" s="220"/>
      <c r="F75" s="220"/>
      <c r="G75" s="220"/>
      <c r="H75" s="220"/>
      <c r="I75" s="220"/>
      <c r="J75" s="219"/>
      <c r="K75" s="220"/>
      <c r="L75" s="220"/>
      <c r="M75" s="220"/>
      <c r="N75" s="220"/>
      <c r="O75" s="220"/>
      <c r="P75" s="220"/>
      <c r="Q75" s="220"/>
      <c r="R75" s="220"/>
      <c r="S75" s="220"/>
      <c r="T75" s="220"/>
      <c r="U75" s="220"/>
      <c r="V75" s="220"/>
    </row>
    <row r="76" spans="1:22">
      <c r="A76" s="219"/>
      <c r="B76" s="220"/>
      <c r="C76" s="220"/>
      <c r="D76" s="220"/>
      <c r="E76" s="220"/>
      <c r="F76" s="220"/>
      <c r="G76" s="220"/>
      <c r="H76" s="220"/>
      <c r="I76" s="220"/>
      <c r="J76" s="219"/>
      <c r="K76" s="220"/>
      <c r="L76" s="220"/>
      <c r="M76" s="220"/>
      <c r="N76" s="220"/>
      <c r="O76" s="220"/>
      <c r="P76" s="220"/>
      <c r="Q76" s="220"/>
      <c r="R76" s="220"/>
      <c r="S76" s="220"/>
      <c r="T76" s="220"/>
      <c r="U76" s="220"/>
      <c r="V76" s="220"/>
    </row>
  </sheetData>
  <sheetProtection algorithmName="SHA-512" hashValue="+KzGFwUH3CVTIJh1ovOxUFxauR76nXRRwcdYPKRlQh5OJiiCbiK+8EaW1r70hNalq63Nz+0RILRzNviL2xuyRQ==" saltValue="+tGNY5FMJxL7FME6h4RqUA==" spinCount="100000" sheet="1" objects="1" scenarios="1"/>
  <mergeCells count="37">
    <mergeCell ref="E44:H44"/>
    <mergeCell ref="E46:H46"/>
    <mergeCell ref="M19:P19"/>
    <mergeCell ref="K9:L10"/>
    <mergeCell ref="Q9:R19"/>
    <mergeCell ref="A1:U3"/>
    <mergeCell ref="A4:AE4"/>
    <mergeCell ref="B37:D39"/>
    <mergeCell ref="B42:D43"/>
    <mergeCell ref="E42:H43"/>
    <mergeCell ref="B30:D30"/>
    <mergeCell ref="K23:L23"/>
    <mergeCell ref="Q22:R27"/>
    <mergeCell ref="M25:P27"/>
    <mergeCell ref="K40:L41"/>
    <mergeCell ref="N40:Q41"/>
    <mergeCell ref="M9:P10"/>
    <mergeCell ref="M12:P13"/>
    <mergeCell ref="M15:P17"/>
    <mergeCell ref="K15:L17"/>
    <mergeCell ref="K12:L13"/>
    <mergeCell ref="K6:L6"/>
    <mergeCell ref="B40:D41"/>
    <mergeCell ref="E40:H41"/>
    <mergeCell ref="E37:H39"/>
    <mergeCell ref="E54:H55"/>
    <mergeCell ref="B54:D55"/>
    <mergeCell ref="B19:D19"/>
    <mergeCell ref="E19:H19"/>
    <mergeCell ref="E23:H23"/>
    <mergeCell ref="E24:H24"/>
    <mergeCell ref="B29:D29"/>
    <mergeCell ref="E29:H29"/>
    <mergeCell ref="E47:H47"/>
    <mergeCell ref="E30:H30"/>
    <mergeCell ref="K24:L24"/>
    <mergeCell ref="K25:L27"/>
  </mergeCells>
  <hyperlinks>
    <hyperlink ref="K6" location="'Table of Contents'!B17" display="Table of Contents" xr:uid="{D1A3C9FE-594F-4035-896C-7EA055E05764}"/>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I121"/>
  <sheetViews>
    <sheetView showGridLines="0" showRowColHeaders="0" zoomScale="85" zoomScaleNormal="85" workbookViewId="0">
      <selection activeCell="E71" sqref="E71"/>
    </sheetView>
  </sheetViews>
  <sheetFormatPr defaultRowHeight="14.25"/>
  <cols>
    <col min="1" max="1" width="2.53125" style="90" customWidth="1"/>
    <col min="2" max="2" width="20.59765625" style="90" customWidth="1"/>
    <col min="3" max="3" width="17.19921875" style="113" customWidth="1"/>
    <col min="4" max="4" width="22.19921875" style="113" customWidth="1"/>
    <col min="5" max="5" width="17.19921875" style="130" customWidth="1"/>
    <col min="6" max="6" width="5.59765625" style="90" customWidth="1"/>
    <col min="7" max="7" width="17.19921875" style="90" customWidth="1"/>
    <col min="8" max="8" width="5.59765625" style="130" customWidth="1"/>
    <col min="9" max="9" width="14.59765625" style="90" customWidth="1"/>
    <col min="10" max="10" width="11.19921875" style="1" customWidth="1"/>
    <col min="11" max="11" width="7.59765625" style="1" customWidth="1"/>
    <col min="12" max="12" width="15.19921875" style="90" customWidth="1"/>
    <col min="13" max="13" width="2.796875" style="1" customWidth="1"/>
    <col min="14" max="14" width="20.9296875" style="90" customWidth="1"/>
    <col min="15" max="15" width="12.19921875" style="90" customWidth="1"/>
    <col min="16" max="16" width="13.53125" style="90" customWidth="1"/>
    <col min="17" max="17" width="6" style="90" customWidth="1"/>
    <col min="18" max="18" width="23.46484375" style="90" customWidth="1"/>
    <col min="19" max="19" width="7.9296875" style="90" customWidth="1"/>
    <col min="20" max="20" width="8.73046875" style="90" customWidth="1"/>
    <col min="21" max="21" width="10.73046875" style="90" customWidth="1"/>
    <col min="22" max="22" width="15" style="90" bestFit="1" customWidth="1"/>
    <col min="23" max="23" width="41.53125" style="90" customWidth="1"/>
    <col min="24" max="24" width="30.19921875" style="90" hidden="1" customWidth="1"/>
    <col min="25" max="25" width="18.19921875" style="90" hidden="1" customWidth="1"/>
    <col min="26" max="26" width="12.73046875" style="90" hidden="1" customWidth="1"/>
    <col min="27" max="27" width="20.73046875" style="90" hidden="1" customWidth="1"/>
    <col min="28" max="28" width="17" style="90" hidden="1" customWidth="1"/>
    <col min="29" max="29" width="26" style="90" hidden="1" customWidth="1"/>
    <col min="30" max="30" width="23.53125" hidden="1" customWidth="1"/>
    <col min="31" max="32" width="26.53125" hidden="1" customWidth="1"/>
    <col min="33" max="33" width="8.796875" hidden="1" customWidth="1"/>
    <col min="34" max="34" width="26.46484375" customWidth="1"/>
    <col min="35" max="35" width="20.265625" customWidth="1"/>
    <col min="36" max="36" width="12.265625" customWidth="1"/>
    <col min="37" max="37" width="9.53125" hidden="1" customWidth="1"/>
    <col min="38" max="38" width="15" hidden="1" customWidth="1"/>
    <col min="39" max="39" width="13.265625" hidden="1" customWidth="1"/>
    <col min="40" max="40" width="18.53125" hidden="1" customWidth="1"/>
    <col min="41" max="41" width="15.53125" hidden="1" customWidth="1"/>
    <col min="42" max="42" width="15.46484375" hidden="1" customWidth="1"/>
    <col min="43" max="43" width="9.19921875" hidden="1" customWidth="1"/>
    <col min="44" max="44" width="20.73046875" hidden="1" customWidth="1"/>
    <col min="45" max="45" width="18.265625" hidden="1" customWidth="1"/>
    <col min="46" max="46" width="13.796875" hidden="1" customWidth="1"/>
    <col min="47" max="47" width="12" hidden="1" customWidth="1"/>
    <col min="48" max="48" width="9.19921875" hidden="1" customWidth="1"/>
    <col min="49" max="49" width="18.73046875" hidden="1" customWidth="1"/>
    <col min="50" max="50" width="8.53125" hidden="1" customWidth="1"/>
    <col min="51" max="53" width="9.19921875" hidden="1" customWidth="1"/>
    <col min="54" max="54" width="10.46484375" hidden="1" customWidth="1"/>
    <col min="55" max="55" width="10" hidden="1" customWidth="1"/>
    <col min="56" max="57" width="9.19921875" hidden="1" customWidth="1"/>
    <col min="58" max="58" width="9.53125" hidden="1" customWidth="1"/>
    <col min="59" max="59" width="11.19921875" hidden="1" customWidth="1"/>
    <col min="60" max="60" width="12.73046875" hidden="1" customWidth="1"/>
    <col min="61" max="61" width="9.19921875" hidden="1" customWidth="1"/>
  </cols>
  <sheetData>
    <row r="1" spans="1:60" ht="15" customHeight="1">
      <c r="A1" s="655"/>
      <c r="B1" s="655"/>
      <c r="C1" s="655"/>
      <c r="D1" s="655"/>
      <c r="E1" s="655"/>
      <c r="F1" s="655"/>
      <c r="G1" s="655"/>
      <c r="H1" s="655"/>
      <c r="I1" s="655"/>
      <c r="J1" s="655"/>
      <c r="K1" s="655"/>
      <c r="L1" s="655"/>
      <c r="M1" s="655"/>
      <c r="N1" s="655"/>
      <c r="O1" s="655"/>
      <c r="P1" s="655"/>
      <c r="Q1" s="655"/>
      <c r="R1" s="655"/>
      <c r="S1" s="655"/>
      <c r="T1" s="655"/>
    </row>
    <row r="2" spans="1:60" ht="15" customHeight="1">
      <c r="A2" s="655"/>
      <c r="B2" s="655"/>
      <c r="C2" s="655"/>
      <c r="D2" s="655"/>
      <c r="E2" s="655"/>
      <c r="F2" s="655"/>
      <c r="G2" s="655"/>
      <c r="H2" s="655"/>
      <c r="I2" s="655"/>
      <c r="J2" s="655"/>
      <c r="K2" s="655"/>
      <c r="L2" s="655"/>
      <c r="M2" s="655"/>
      <c r="N2" s="655"/>
      <c r="O2" s="655"/>
      <c r="P2" s="655"/>
      <c r="Q2" s="655"/>
      <c r="R2" s="655"/>
      <c r="S2" s="655"/>
      <c r="T2" s="655"/>
    </row>
    <row r="3" spans="1:60" ht="15" customHeight="1">
      <c r="A3" s="655"/>
      <c r="B3" s="655"/>
      <c r="C3" s="655"/>
      <c r="D3" s="655"/>
      <c r="E3" s="655"/>
      <c r="F3" s="655"/>
      <c r="G3" s="655"/>
      <c r="H3" s="655"/>
      <c r="I3" s="655"/>
      <c r="J3" s="655"/>
      <c r="K3" s="655"/>
      <c r="L3" s="655"/>
      <c r="M3" s="655"/>
      <c r="N3" s="655"/>
      <c r="O3" s="655"/>
      <c r="P3" s="655"/>
      <c r="Q3" s="655"/>
      <c r="R3" s="655"/>
      <c r="S3" s="655"/>
      <c r="T3" s="655"/>
    </row>
    <row r="4" spans="1:60" ht="15" customHeight="1">
      <c r="A4" s="656"/>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row>
    <row r="5" spans="1:60" ht="15" customHeight="1" thickBot="1">
      <c r="M5" s="66"/>
      <c r="N5" s="732" t="s">
        <v>8</v>
      </c>
      <c r="O5" s="732"/>
    </row>
    <row r="6" spans="1:60" ht="17" customHeight="1" thickBot="1">
      <c r="B6" s="132" t="str">
        <f>IF(K7="[Select Configuration]","selectConfig",IF(K7="Differential","withoutR3",IF(K7="Differential","withR3",IF(K7="Single-Ended","single"," "))))</f>
        <v>selectConfig</v>
      </c>
      <c r="C6" s="132"/>
      <c r="D6" s="132"/>
      <c r="E6" s="132"/>
      <c r="G6" s="661" t="s">
        <v>260</v>
      </c>
      <c r="H6" s="662"/>
      <c r="I6" s="662"/>
      <c r="J6" s="662"/>
      <c r="K6" s="662"/>
      <c r="L6" s="663"/>
      <c r="M6" s="135"/>
      <c r="N6" s="658" t="s">
        <v>37</v>
      </c>
      <c r="O6" s="659"/>
      <c r="AA6" s="9"/>
      <c r="AY6" s="17" t="s">
        <v>105</v>
      </c>
      <c r="AZ6" t="s">
        <v>113</v>
      </c>
      <c r="BA6" t="s">
        <v>114</v>
      </c>
      <c r="BB6" t="s">
        <v>115</v>
      </c>
      <c r="BC6" t="s">
        <v>116</v>
      </c>
      <c r="BD6" t="s">
        <v>117</v>
      </c>
      <c r="BE6" t="s">
        <v>118</v>
      </c>
      <c r="BF6" t="s">
        <v>119</v>
      </c>
      <c r="BG6" t="s">
        <v>120</v>
      </c>
      <c r="BH6" t="s">
        <v>121</v>
      </c>
    </row>
    <row r="7" spans="1:60" ht="15" customHeight="1" thickBot="1">
      <c r="B7" s="132"/>
      <c r="C7" s="132"/>
      <c r="D7" s="132"/>
      <c r="E7" s="132"/>
      <c r="G7" s="739" t="s">
        <v>402</v>
      </c>
      <c r="H7" s="740"/>
      <c r="I7" s="740"/>
      <c r="J7" s="741"/>
      <c r="K7" s="733" t="s">
        <v>52</v>
      </c>
      <c r="L7" s="734"/>
      <c r="M7" s="136"/>
      <c r="N7" s="76" t="s">
        <v>38</v>
      </c>
      <c r="O7" s="112" t="s">
        <v>9</v>
      </c>
      <c r="P7" s="634" t="str">
        <f>IF(OR(K7="[Select Device]",K8="[Select Configuration]")," ",IF(K7="Differential",IF(VLOOKUP(K8, Devices[], COLUMN(Devices[Differential Input Resistance]),0)&gt;30000,"This device has high input impedance and a wide input voltage range, optimized for voltage sensing.
Consider using a device optimized for current sensing.", ""),IF(VLOOKUP(K8, Devices[], COLUMN(Devices[Differential Input Resistance]),0)&gt;30000,"This device has high input impedance and a wide input voltage range, optimized for voltage sensing.
Consider using a device optimized for current sensing.", "")))</f>
        <v/>
      </c>
      <c r="Q7" s="635"/>
      <c r="R7" s="635"/>
      <c r="S7" s="635"/>
      <c r="T7" s="635"/>
      <c r="U7" s="212"/>
      <c r="V7" s="212"/>
      <c r="W7" s="212"/>
      <c r="AY7" s="53">
        <v>10</v>
      </c>
      <c r="AZ7" s="19">
        <f>Table3[[#This Row],[R]]*10</f>
        <v>100</v>
      </c>
      <c r="BA7" s="18">
        <f>Table3[[#This Row],[R2]]*10</f>
        <v>1000</v>
      </c>
      <c r="BB7" s="18">
        <f>Table3[[#This Row],[R3]]*10</f>
        <v>10000</v>
      </c>
      <c r="BC7" s="18">
        <f>Table3[[#This Row],[R4]]*10</f>
        <v>100000</v>
      </c>
      <c r="BD7" s="20">
        <f>Table3[[#This Row],[R]]/10</f>
        <v>1</v>
      </c>
      <c r="BE7" s="20">
        <f>Table3[[#This Row],[R6]]/10</f>
        <v>0.1</v>
      </c>
      <c r="BF7" s="20">
        <f>Table3[[#This Row],[R7]]/10</f>
        <v>0.01</v>
      </c>
      <c r="BG7" s="20">
        <f>Table3[[#This Row],[R8]]/10</f>
        <v>1E-3</v>
      </c>
      <c r="BH7" s="20">
        <f>Table3[[#This Row],[R9]]/10</f>
        <v>1E-4</v>
      </c>
    </row>
    <row r="8" spans="1:60" ht="15" customHeight="1" thickBot="1">
      <c r="B8" s="132"/>
      <c r="C8" s="132"/>
      <c r="D8" s="132"/>
      <c r="E8" s="132"/>
      <c r="G8" s="742" t="s">
        <v>49</v>
      </c>
      <c r="H8" s="743"/>
      <c r="I8" s="743"/>
      <c r="J8" s="744"/>
      <c r="K8" s="735" t="s">
        <v>53</v>
      </c>
      <c r="L8" s="736"/>
      <c r="M8" s="136"/>
      <c r="N8" s="76" t="s">
        <v>390</v>
      </c>
      <c r="O8" s="80" t="s">
        <v>9</v>
      </c>
      <c r="P8" s="634"/>
      <c r="Q8" s="635"/>
      <c r="R8" s="635"/>
      <c r="S8" s="635"/>
      <c r="T8" s="635"/>
      <c r="U8" s="212"/>
      <c r="V8" s="212"/>
      <c r="W8" s="212"/>
      <c r="AL8" s="625" t="s">
        <v>140</v>
      </c>
      <c r="AM8" s="627"/>
      <c r="AN8" s="45" t="s">
        <v>104</v>
      </c>
      <c r="AO8" s="625" t="s">
        <v>137</v>
      </c>
      <c r="AP8" s="627"/>
      <c r="AR8" s="625" t="s">
        <v>143</v>
      </c>
      <c r="AS8" s="626"/>
      <c r="AT8" s="626"/>
      <c r="AU8" s="627"/>
      <c r="AW8" s="625" t="s">
        <v>123</v>
      </c>
      <c r="AX8" s="627"/>
      <c r="AY8" s="56">
        <v>10.199999999999999</v>
      </c>
      <c r="AZ8" s="19">
        <f>Table3[[#This Row],[R]]*10</f>
        <v>102</v>
      </c>
      <c r="BA8" s="18">
        <f>Table3[[#This Row],[R2]]*10</f>
        <v>1020</v>
      </c>
      <c r="BB8" s="18">
        <f>Table3[[#This Row],[R3]]*10</f>
        <v>10200</v>
      </c>
      <c r="BC8" s="18">
        <f>Table3[[#This Row],[R4]]*10</f>
        <v>102000</v>
      </c>
      <c r="BD8" s="20">
        <f>Table3[[#This Row],[R]]/10</f>
        <v>1.02</v>
      </c>
      <c r="BE8" s="20">
        <f>Table3[[#This Row],[R6]]/10</f>
        <v>0.10200000000000001</v>
      </c>
      <c r="BF8" s="20">
        <f>Table3[[#This Row],[R7]]/10</f>
        <v>1.0200000000000001E-2</v>
      </c>
      <c r="BG8" s="20">
        <f>Table3[[#This Row],[R8]]/10</f>
        <v>1.0200000000000001E-3</v>
      </c>
      <c r="BH8" s="20">
        <f>Table3[[#This Row],[R9]]/10</f>
        <v>1.0200000000000001E-4</v>
      </c>
    </row>
    <row r="9" spans="1:60" ht="15" customHeight="1" thickBot="1">
      <c r="B9" s="132"/>
      <c r="C9" s="132"/>
      <c r="D9" s="132"/>
      <c r="E9" s="132"/>
      <c r="G9" s="676" t="s">
        <v>254</v>
      </c>
      <c r="H9" s="677"/>
      <c r="I9" s="677"/>
      <c r="J9" s="678"/>
      <c r="K9" s="737">
        <v>50</v>
      </c>
      <c r="L9" s="738"/>
      <c r="M9" s="137"/>
      <c r="N9" s="76" t="s">
        <v>379</v>
      </c>
      <c r="O9" s="81" t="s">
        <v>9</v>
      </c>
      <c r="P9" s="634" t="str">
        <f>IF(OR(K8="[Select Device]",K7="[Select Configuration]")," ",IF(AL30&lt;K31, "+FS Input beyond Input Voltage Range Datasheet Specification. 
Decrease Maximum Current or Shunt Resistance.", " "))</f>
        <v xml:space="preserve"> </v>
      </c>
      <c r="Q9" s="635"/>
      <c r="R9" s="635"/>
      <c r="S9" s="635"/>
      <c r="T9" s="635"/>
      <c r="U9" s="212"/>
      <c r="V9" s="212"/>
      <c r="W9" s="212"/>
      <c r="X9" s="3"/>
      <c r="Y9" s="3"/>
      <c r="Z9" s="3"/>
      <c r="AL9" s="13" t="s">
        <v>78</v>
      </c>
      <c r="AM9" s="33" t="e">
        <f>(#REF!/1000)/K9</f>
        <v>#REF!</v>
      </c>
      <c r="AN9" s="13"/>
      <c r="AO9" s="43" t="s">
        <v>80</v>
      </c>
      <c r="AP9" s="44" t="e">
        <f>AP10*0.85</f>
        <v>#VALUE!</v>
      </c>
      <c r="AR9" s="625" t="s">
        <v>144</v>
      </c>
      <c r="AS9" s="627"/>
      <c r="AT9" s="626" t="s">
        <v>110</v>
      </c>
      <c r="AU9" s="627"/>
      <c r="AW9" s="13" t="s">
        <v>145</v>
      </c>
      <c r="AX9" s="48" t="str">
        <f>IF(OR(K8="[Select Device]",K7="[Select Configuration]")," ",IF(OR(K7="Differential",K7="Single-Ended"),AS18,AU10))</f>
        <v xml:space="preserve"> </v>
      </c>
      <c r="AY9" s="56">
        <v>10.5</v>
      </c>
      <c r="AZ9" s="19">
        <f>Table3[[#This Row],[R]]*10</f>
        <v>105</v>
      </c>
      <c r="BA9" s="18">
        <f>Table3[[#This Row],[R2]]*10</f>
        <v>1050</v>
      </c>
      <c r="BB9" s="18">
        <f>Table3[[#This Row],[R3]]*10</f>
        <v>10500</v>
      </c>
      <c r="BC9" s="18">
        <f>Table3[[#This Row],[R4]]*10</f>
        <v>105000</v>
      </c>
      <c r="BD9" s="20">
        <f>Table3[[#This Row],[R]]/10</f>
        <v>1.05</v>
      </c>
      <c r="BE9" s="20">
        <f>Table3[[#This Row],[R6]]/10</f>
        <v>0.10500000000000001</v>
      </c>
      <c r="BF9" s="20">
        <f>Table3[[#This Row],[R7]]/10</f>
        <v>1.0500000000000001E-2</v>
      </c>
      <c r="BG9" s="20">
        <f>Table3[[#This Row],[R8]]/10</f>
        <v>1.0500000000000002E-3</v>
      </c>
      <c r="BH9" s="20">
        <f>Table3[[#This Row],[R9]]/10</f>
        <v>1.0500000000000002E-4</v>
      </c>
    </row>
    <row r="10" spans="1:60" ht="15" customHeight="1" thickBot="1">
      <c r="B10" s="132"/>
      <c r="C10" s="132"/>
      <c r="D10" s="132"/>
      <c r="E10" s="132"/>
      <c r="G10" s="676" t="s">
        <v>251</v>
      </c>
      <c r="H10" s="677"/>
      <c r="I10" s="677"/>
      <c r="J10" s="678"/>
      <c r="K10" s="751">
        <v>1</v>
      </c>
      <c r="L10" s="752"/>
      <c r="M10" s="138"/>
      <c r="N10" s="77" t="s">
        <v>170</v>
      </c>
      <c r="O10" s="82" t="s">
        <v>9</v>
      </c>
      <c r="P10" s="634"/>
      <c r="Q10" s="635"/>
      <c r="R10" s="635"/>
      <c r="S10" s="635"/>
      <c r="T10" s="635"/>
      <c r="V10" s="216"/>
      <c r="W10" s="216"/>
      <c r="X10" s="3"/>
      <c r="Y10" s="89"/>
      <c r="Z10" s="3"/>
      <c r="AL10" s="13" t="s">
        <v>176</v>
      </c>
      <c r="AM10" s="33" t="e">
        <f>(((2*K13)+AP10)/((2*K13+AP10)+K15+(1/((1/(AO36+AO37))+(1/#REF!)))))*#REF!/((AO36+AO37)+#REF!)</f>
        <v>#VALUE!</v>
      </c>
      <c r="AN10" s="28" t="e">
        <f>AM10*AM21</f>
        <v>#VALUE!</v>
      </c>
      <c r="AO10" s="31" t="s">
        <v>82</v>
      </c>
      <c r="AP10" s="32" t="str">
        <f>IF(K7="[Select Configuration]", " ", IF(K8="[Select Device]", "e in the User Inputs.  ", VLOOKUP(K8, Devices[], COLUMN(Devices[Differential Input Resistance]), 0)))</f>
        <v xml:space="preserve"> </v>
      </c>
      <c r="AR10" s="21" t="s">
        <v>157</v>
      </c>
      <c r="AS10" s="22"/>
      <c r="AT10" s="3" t="s">
        <v>163</v>
      </c>
      <c r="AU10" s="48" t="e">
        <f>((AM9*(AO36+AO37)))/(1-AM9-AM9*(2*(AO36+AO37))/(2*K13+AP10))</f>
        <v>#REF!</v>
      </c>
      <c r="AW10" s="13" t="s">
        <v>146</v>
      </c>
      <c r="AX10" s="48">
        <f t="array" ref="AX10">MAX(IF(Table3[]&lt;=AX9,Table3[]))</f>
        <v>976000</v>
      </c>
      <c r="AY10" s="56">
        <v>10.7</v>
      </c>
      <c r="AZ10" s="19">
        <f>Table3[[#This Row],[R]]*10</f>
        <v>107</v>
      </c>
      <c r="BA10" s="18">
        <f>Table3[[#This Row],[R2]]*10</f>
        <v>1070</v>
      </c>
      <c r="BB10" s="18">
        <f>Table3[[#This Row],[R3]]*10</f>
        <v>10700</v>
      </c>
      <c r="BC10" s="18">
        <f>Table3[[#This Row],[R4]]*10</f>
        <v>107000</v>
      </c>
      <c r="BD10" s="20">
        <f>Table3[[#This Row],[R]]/10</f>
        <v>1.0699999999999998</v>
      </c>
      <c r="BE10" s="20">
        <f>Table3[[#This Row],[R6]]/10</f>
        <v>0.10699999999999998</v>
      </c>
      <c r="BF10" s="20">
        <f>Table3[[#This Row],[R7]]/10</f>
        <v>1.0699999999999998E-2</v>
      </c>
      <c r="BG10" s="20">
        <f>Table3[[#This Row],[R8]]/10</f>
        <v>1.0699999999999998E-3</v>
      </c>
      <c r="BH10" s="20">
        <f>Table3[[#This Row],[R9]]/10</f>
        <v>1.0699999999999997E-4</v>
      </c>
    </row>
    <row r="11" spans="1:60" ht="15" customHeight="1" thickBot="1">
      <c r="B11" s="132"/>
      <c r="C11" s="132"/>
      <c r="D11" s="132"/>
      <c r="E11" s="132"/>
      <c r="G11" s="676" t="s">
        <v>256</v>
      </c>
      <c r="H11" s="677"/>
      <c r="I11" s="677"/>
      <c r="J11" s="678"/>
      <c r="K11" s="647">
        <v>-40</v>
      </c>
      <c r="L11" s="648"/>
      <c r="M11" s="139"/>
      <c r="N11" s="78" t="s">
        <v>171</v>
      </c>
      <c r="O11" s="88" t="s">
        <v>9</v>
      </c>
      <c r="V11" s="216"/>
      <c r="W11" s="216"/>
      <c r="X11" s="3"/>
      <c r="Y11" s="12"/>
      <c r="Z11" s="3"/>
      <c r="AL11" s="13" t="s">
        <v>79</v>
      </c>
      <c r="AM11" s="33">
        <v>0</v>
      </c>
      <c r="AN11" s="13"/>
      <c r="AO11" s="29" t="s">
        <v>81</v>
      </c>
      <c r="AP11" s="30" t="e">
        <f>AP10*1.15</f>
        <v>#VALUE!</v>
      </c>
      <c r="AR11" s="13" t="s">
        <v>147</v>
      </c>
      <c r="AS11" s="23" t="e">
        <f>#REF!</f>
        <v>#REF!</v>
      </c>
      <c r="AT11" s="3" t="s">
        <v>162</v>
      </c>
      <c r="AU11" s="48">
        <f>AX10</f>
        <v>976000</v>
      </c>
      <c r="AW11" s="42" t="s">
        <v>122</v>
      </c>
      <c r="AX11" s="26"/>
      <c r="AY11" s="56">
        <v>11</v>
      </c>
      <c r="AZ11" s="19">
        <f>Table3[[#This Row],[R]]*10</f>
        <v>110</v>
      </c>
      <c r="BA11" s="18">
        <f>Table3[[#This Row],[R2]]*10</f>
        <v>1100</v>
      </c>
      <c r="BB11" s="18">
        <f>Table3[[#This Row],[R3]]*10</f>
        <v>11000</v>
      </c>
      <c r="BC11" s="18">
        <f>Table3[[#This Row],[R4]]*10</f>
        <v>110000</v>
      </c>
      <c r="BD11" s="20">
        <f>Table3[[#This Row],[R]]/10</f>
        <v>1.1000000000000001</v>
      </c>
      <c r="BE11" s="20">
        <f>Table3[[#This Row],[R6]]/10</f>
        <v>0.11000000000000001</v>
      </c>
      <c r="BF11" s="20">
        <f>Table3[[#This Row],[R7]]/10</f>
        <v>1.1000000000000001E-2</v>
      </c>
      <c r="BG11" s="20">
        <f>Table3[[#This Row],[R8]]/10</f>
        <v>1.1000000000000001E-3</v>
      </c>
      <c r="BH11" s="20">
        <f>Table3[[#This Row],[R9]]/10</f>
        <v>1.1E-4</v>
      </c>
    </row>
    <row r="12" spans="1:60" ht="15" customHeight="1" thickBot="1">
      <c r="B12" s="132"/>
      <c r="C12" s="132"/>
      <c r="D12" s="132"/>
      <c r="E12" s="132"/>
      <c r="G12" s="676" t="s">
        <v>257</v>
      </c>
      <c r="H12" s="677"/>
      <c r="I12" s="677"/>
      <c r="J12" s="678"/>
      <c r="K12" s="647">
        <v>125</v>
      </c>
      <c r="L12" s="648"/>
      <c r="M12" s="139"/>
      <c r="X12" s="3"/>
      <c r="Y12" s="12"/>
      <c r="Z12" s="3"/>
      <c r="AL12" s="13" t="s">
        <v>134</v>
      </c>
      <c r="AM12" s="33" t="e">
        <f>((2*K13+AP10)/((2*K13+AP10+O27)+(1/((1/(AO36+AO37))+(1/#REF!)))))*#REF!/((AO36+AO37)+#REF!)</f>
        <v>#VALUE!</v>
      </c>
      <c r="AN12" s="28" t="e">
        <f>AM12*AM21</f>
        <v>#VALUE!</v>
      </c>
      <c r="AO12" s="13"/>
      <c r="AP12" s="14"/>
      <c r="AR12" s="13" t="s">
        <v>148</v>
      </c>
      <c r="AS12" s="48" t="e">
        <f>1/((1/(((AS11/1000)/K9)*(AO36+AO37)/(1-((AS11/1000)/K9))))-(1/(K13+VLOOKUP(K8,Devices[],COLUMN(Devices[Single-Ended Input Resistance]),0))))</f>
        <v>#REF!</v>
      </c>
      <c r="AT12" s="3" t="s">
        <v>111</v>
      </c>
      <c r="AU12" s="14" t="e">
        <f>AU11/((AO36+AO37)+AU11*(2*(AO36+AO37)/VLOOKUP(K8,Devices[],COLUMN(Devices[Differential Input Resistance]),0)))</f>
        <v>#DIV/0!</v>
      </c>
      <c r="AW12" s="3"/>
      <c r="AX12" s="3"/>
      <c r="AY12" s="56">
        <v>11.3</v>
      </c>
      <c r="AZ12" s="19">
        <f>Table3[[#This Row],[R]]*10</f>
        <v>113</v>
      </c>
      <c r="BA12" s="18">
        <f>Table3[[#This Row],[R2]]*10</f>
        <v>1130</v>
      </c>
      <c r="BB12" s="18">
        <f>Table3[[#This Row],[R3]]*10</f>
        <v>11300</v>
      </c>
      <c r="BC12" s="18">
        <f>Table3[[#This Row],[R4]]*10</f>
        <v>113000</v>
      </c>
      <c r="BD12" s="20">
        <f>Table3[[#This Row],[R]]/10</f>
        <v>1.1300000000000001</v>
      </c>
      <c r="BE12" s="20">
        <f>Table3[[#This Row],[R6]]/10</f>
        <v>0.11300000000000002</v>
      </c>
      <c r="BF12" s="20">
        <f>Table3[[#This Row],[R7]]/10</f>
        <v>1.1300000000000001E-2</v>
      </c>
      <c r="BG12" s="20">
        <f>Table3[[#This Row],[R8]]/10</f>
        <v>1.1300000000000001E-3</v>
      </c>
      <c r="BH12" s="20">
        <f>Table3[[#This Row],[R9]]/10</f>
        <v>1.1300000000000001E-4</v>
      </c>
    </row>
    <row r="13" spans="1:60" ht="15" customHeight="1" thickBot="1">
      <c r="B13" s="132"/>
      <c r="C13" s="132"/>
      <c r="D13" s="132"/>
      <c r="E13" s="132"/>
      <c r="G13" s="676" t="s">
        <v>172</v>
      </c>
      <c r="H13" s="677"/>
      <c r="I13" s="677"/>
      <c r="J13" s="678"/>
      <c r="K13" s="709">
        <v>10</v>
      </c>
      <c r="L13" s="710"/>
      <c r="M13" s="140"/>
      <c r="N13" s="753" t="s">
        <v>380</v>
      </c>
      <c r="O13" s="754"/>
      <c r="T13" s="127"/>
      <c r="U13" s="127"/>
      <c r="V13" s="127"/>
      <c r="W13" s="127"/>
      <c r="AL13" s="24" t="s">
        <v>84</v>
      </c>
      <c r="AM13" s="34" t="e">
        <f>((2*K13+AP9)/((2*K13+AP9+O27)+(1/((1/(AO36+AO37))+(1/#REF!)))))*#REF!/((AO36+AO37)+#REF!)</f>
        <v>#VALUE!</v>
      </c>
      <c r="AN13" s="35" t="e">
        <f>AM13*AM22</f>
        <v>#VALUE!</v>
      </c>
      <c r="AO13" s="24" t="s">
        <v>85</v>
      </c>
      <c r="AP13" s="84">
        <f>IF(OR(K7="Differential",K7="Single-Ended"),AS24, 0)</f>
        <v>0</v>
      </c>
      <c r="AR13" s="13" t="s">
        <v>149</v>
      </c>
      <c r="AS13" s="23" t="e">
        <f>(AS12*VLOOKUP(K8,Devices[],COLUMN(Devices[Bias Current]),0))/1000</f>
        <v>#REF!</v>
      </c>
      <c r="AT13" s="3" t="s">
        <v>112</v>
      </c>
      <c r="AU13" s="23" t="e">
        <f>AU12*K9*1000</f>
        <v>#DIV/0!</v>
      </c>
      <c r="AW13" s="3"/>
      <c r="AX13" s="3"/>
      <c r="AY13" s="56">
        <v>11.5</v>
      </c>
      <c r="AZ13" s="19">
        <f>Table3[[#This Row],[R]]*10</f>
        <v>115</v>
      </c>
      <c r="BA13" s="18">
        <f>Table3[[#This Row],[R2]]*10</f>
        <v>1150</v>
      </c>
      <c r="BB13" s="18">
        <f>Table3[[#This Row],[R3]]*10</f>
        <v>11500</v>
      </c>
      <c r="BC13" s="18">
        <f>Table3[[#This Row],[R4]]*10</f>
        <v>115000</v>
      </c>
      <c r="BD13" s="20">
        <f>Table3[[#This Row],[R]]/10</f>
        <v>1.1499999999999999</v>
      </c>
      <c r="BE13" s="20">
        <f>Table3[[#This Row],[R6]]/10</f>
        <v>0.11499999999999999</v>
      </c>
      <c r="BF13" s="20">
        <f>Table3[[#This Row],[R7]]/10</f>
        <v>1.15E-2</v>
      </c>
      <c r="BG13" s="20">
        <f>Table3[[#This Row],[R8]]/10</f>
        <v>1.15E-3</v>
      </c>
      <c r="BH13" s="20">
        <f>Table3[[#This Row],[R9]]/10</f>
        <v>1.15E-4</v>
      </c>
    </row>
    <row r="14" spans="1:60" ht="15" customHeight="1" thickBot="1">
      <c r="B14" s="132"/>
      <c r="C14" s="132"/>
      <c r="D14" s="132"/>
      <c r="E14" s="132"/>
      <c r="G14" s="745" t="s">
        <v>173</v>
      </c>
      <c r="H14" s="746"/>
      <c r="I14" s="746"/>
      <c r="J14" s="747"/>
      <c r="K14" s="711">
        <v>10</v>
      </c>
      <c r="L14" s="712"/>
      <c r="M14" s="141"/>
      <c r="N14" s="178" t="s">
        <v>272</v>
      </c>
      <c r="O14" s="181" t="str">
        <f>E42</f>
        <v xml:space="preserve"> </v>
      </c>
      <c r="T14" s="130"/>
      <c r="U14" s="130"/>
      <c r="V14" s="130"/>
      <c r="W14" s="130"/>
      <c r="AL14" s="24" t="s">
        <v>91</v>
      </c>
      <c r="AM14" s="34" t="e">
        <f>((2*K13+AP21)/((2*K13+AP21+O27)+(1/((1/(AO36+AO37))+(1/#REF!)))))*#REF!/((AO37+AO36)+#REF!)</f>
        <v>#VALUE!</v>
      </c>
      <c r="AN14" s="35" t="e">
        <f>AM14*AM23</f>
        <v>#VALUE!</v>
      </c>
      <c r="AO14" s="24" t="s">
        <v>87</v>
      </c>
      <c r="AP14" s="69" t="e">
        <f>IF(OR(K7="Differential",K7="Single-Ended"),AS34,(K9*AN13+AM19*K13))</f>
        <v>#VALUE!</v>
      </c>
      <c r="AR14" s="24" t="s">
        <v>150</v>
      </c>
      <c r="AS14" s="50" t="e">
        <f>AS11-AS13</f>
        <v>#REF!</v>
      </c>
      <c r="AT14" s="49" t="s">
        <v>104</v>
      </c>
      <c r="AU14" s="46" t="e">
        <f>AU13*AM21</f>
        <v>#DIV/0!</v>
      </c>
      <c r="AW14" s="3"/>
      <c r="AX14" s="3"/>
      <c r="AY14" s="58">
        <v>11.8</v>
      </c>
      <c r="AZ14" s="19">
        <f>Table3[[#This Row],[R]]*10</f>
        <v>118</v>
      </c>
      <c r="BA14" s="18">
        <f>Table3[[#This Row],[R2]]*10</f>
        <v>1180</v>
      </c>
      <c r="BB14" s="18">
        <f>Table3[[#This Row],[R3]]*10</f>
        <v>11800</v>
      </c>
      <c r="BC14" s="18">
        <f>Table3[[#This Row],[R4]]*10</f>
        <v>118000</v>
      </c>
      <c r="BD14" s="20">
        <f>Table3[[#This Row],[R]]/10</f>
        <v>1.1800000000000002</v>
      </c>
      <c r="BE14" s="20">
        <f>Table3[[#This Row],[R6]]/10</f>
        <v>0.11800000000000002</v>
      </c>
      <c r="BF14" s="20">
        <f>Table3[[#This Row],[R7]]/10</f>
        <v>1.1800000000000001E-2</v>
      </c>
      <c r="BG14" s="20">
        <f>Table3[[#This Row],[R8]]/10</f>
        <v>1.1800000000000001E-3</v>
      </c>
      <c r="BH14" s="20">
        <f>Table3[[#This Row],[R9]]/10</f>
        <v>1.1800000000000001E-4</v>
      </c>
    </row>
    <row r="15" spans="1:60" ht="15" customHeight="1" thickBot="1">
      <c r="B15" s="132"/>
      <c r="C15" s="132"/>
      <c r="D15" s="132"/>
      <c r="E15" s="132"/>
      <c r="G15" s="748">
        <f>K9</f>
        <v>50</v>
      </c>
      <c r="H15" s="749"/>
      <c r="I15" s="749"/>
      <c r="J15" s="750"/>
      <c r="K15" s="713" t="str">
        <f>IF(OR(K8="[Select Device]",K7="[Select Configuration]")," ",(K10/1000)*K9^2)</f>
        <v xml:space="preserve"> </v>
      </c>
      <c r="L15" s="714"/>
      <c r="M15" s="142"/>
      <c r="N15" s="179" t="s">
        <v>265</v>
      </c>
      <c r="O15" s="182" t="str">
        <f>I42</f>
        <v xml:space="preserve"> </v>
      </c>
      <c r="T15" s="130"/>
      <c r="U15" s="130"/>
      <c r="V15" s="130"/>
      <c r="W15" s="130"/>
      <c r="X15" s="12"/>
      <c r="AL15" s="24" t="s">
        <v>83</v>
      </c>
      <c r="AM15" s="34" t="e">
        <f>((2*K13+AP11)/((2*K13+AP11+O27)+(1/((1/(AO36+AO37))+(1/#REF!)))))*#REF!/((AO36+AO37)+#REF!)</f>
        <v>#VALUE!</v>
      </c>
      <c r="AN15" s="35" t="e">
        <f>AM15*AM24</f>
        <v>#VALUE!</v>
      </c>
      <c r="AO15" s="24" t="s">
        <v>88</v>
      </c>
      <c r="AP15" s="69" t="e">
        <f>IF(OR(K7="Differential",K7="Single-Ended"),AS29,(K9*AN15+AM19*K13)*1000)</f>
        <v>#VALUE!</v>
      </c>
      <c r="AR15" s="24" t="s">
        <v>151</v>
      </c>
      <c r="AS15" s="48" t="e">
        <f>1/((1/(((AS14/1000)/K9)*(AO36+AO37)/(1-((AS14/1000)/K9))))-(1/(K13+VLOOKUP(K8,Devices[],COLUMN(Devices[Single-Ended Input Resistance]),0))))</f>
        <v>#REF!</v>
      </c>
      <c r="AW15" s="6"/>
      <c r="AX15" s="6"/>
      <c r="AY15" s="54">
        <v>12.1</v>
      </c>
      <c r="AZ15" s="19">
        <f>Table3[[#This Row],[R]]*10</f>
        <v>121</v>
      </c>
      <c r="BA15" s="18">
        <f>Table3[[#This Row],[R2]]*10</f>
        <v>1210</v>
      </c>
      <c r="BB15" s="18">
        <f>Table3[[#This Row],[R3]]*10</f>
        <v>12100</v>
      </c>
      <c r="BC15" s="18">
        <f>Table3[[#This Row],[R4]]*10</f>
        <v>121000</v>
      </c>
      <c r="BD15" s="20">
        <f>Table3[[#This Row],[R]]/10</f>
        <v>1.21</v>
      </c>
      <c r="BE15" s="20">
        <f>Table3[[#This Row],[R6]]/10</f>
        <v>0.121</v>
      </c>
      <c r="BF15" s="20">
        <f>Table3[[#This Row],[R7]]/10</f>
        <v>1.21E-2</v>
      </c>
      <c r="BG15" s="20">
        <f>Table3[[#This Row],[R8]]/10</f>
        <v>1.2099999999999999E-3</v>
      </c>
      <c r="BH15" s="20">
        <f>Table3[[#This Row],[R9]]/10</f>
        <v>1.2099999999999999E-4</v>
      </c>
    </row>
    <row r="16" spans="1:60" ht="15" customHeight="1" thickBot="1">
      <c r="B16" s="132"/>
      <c r="C16" s="132"/>
      <c r="D16" s="132"/>
      <c r="E16" s="132"/>
      <c r="G16" s="757" t="s">
        <v>174</v>
      </c>
      <c r="H16" s="758"/>
      <c r="I16" s="758"/>
      <c r="J16" s="759"/>
      <c r="K16" s="755" t="str">
        <f>IF(OR(K8="[Select Device]",K7="[Select Configuration]")," ",IF(K7="Single-Ended",1/(2*3.14*K13*K14*0.000001),1/((2*3.14*2*K13*K14*0.000001))))</f>
        <v xml:space="preserve"> </v>
      </c>
      <c r="L16" s="756"/>
      <c r="M16" s="143"/>
      <c r="N16" s="179" t="s">
        <v>300</v>
      </c>
      <c r="O16" s="183" t="str">
        <f>G42</f>
        <v xml:space="preserve"> </v>
      </c>
      <c r="T16" s="130"/>
      <c r="U16" s="130"/>
      <c r="V16" s="130"/>
      <c r="W16" s="130"/>
      <c r="X16" s="12"/>
      <c r="AL16" s="36" t="s">
        <v>93</v>
      </c>
      <c r="AM16" s="37" t="e">
        <f>((2*K13+AP22)/((2*K13+AP22+O27)+(1/((1/(AO36+AO37))+(1/#REF!)))))*#REF!/((AO36+AO37)+#REF!)</f>
        <v>#VALUE!</v>
      </c>
      <c r="AN16" s="38" t="e">
        <f>AM16*AM25</f>
        <v>#VALUE!</v>
      </c>
      <c r="AO16" s="24" t="s">
        <v>86</v>
      </c>
      <c r="AP16" s="51" t="e">
        <f>ABS((AP13-AP13)/(AP13))</f>
        <v>#DIV/0!</v>
      </c>
      <c r="AR16" s="24" t="s">
        <v>152</v>
      </c>
      <c r="AS16" s="23" t="e">
        <f>(AS15*VLOOKUP(K8,Devices[],COLUMN(Devices[Bias Current]),0))/1000</f>
        <v>#REF!</v>
      </c>
      <c r="AT16" s="16"/>
      <c r="AU16" s="41"/>
      <c r="AY16" s="52">
        <v>12.4</v>
      </c>
      <c r="AZ16" s="19">
        <f>Table3[[#This Row],[R]]*10</f>
        <v>124</v>
      </c>
      <c r="BA16" s="18">
        <f>Table3[[#This Row],[R2]]*10</f>
        <v>1240</v>
      </c>
      <c r="BB16" s="18">
        <f>Table3[[#This Row],[R3]]*10</f>
        <v>12400</v>
      </c>
      <c r="BC16" s="18">
        <f>Table3[[#This Row],[R4]]*10</f>
        <v>124000</v>
      </c>
      <c r="BD16" s="20">
        <f>Table3[[#This Row],[R]]/10</f>
        <v>1.24</v>
      </c>
      <c r="BE16" s="20">
        <f>Table3[[#This Row],[R6]]/10</f>
        <v>0.124</v>
      </c>
      <c r="BF16" s="20">
        <f>Table3[[#This Row],[R7]]/10</f>
        <v>1.24E-2</v>
      </c>
      <c r="BG16" s="20">
        <f>Table3[[#This Row],[R8]]/10</f>
        <v>1.24E-3</v>
      </c>
      <c r="BH16" s="20">
        <f>Table3[[#This Row],[R9]]/10</f>
        <v>1.2400000000000001E-4</v>
      </c>
    </row>
    <row r="17" spans="2:60" ht="15" customHeight="1" thickBot="1">
      <c r="B17" s="132"/>
      <c r="C17" s="132"/>
      <c r="D17" s="132"/>
      <c r="E17" s="132"/>
      <c r="F17" s="132"/>
      <c r="G17" s="132"/>
      <c r="H17" s="132"/>
      <c r="I17" s="91"/>
      <c r="L17" s="91"/>
      <c r="N17" s="180" t="s">
        <v>269</v>
      </c>
      <c r="O17" s="184" t="str">
        <f>K42</f>
        <v xml:space="preserve"> </v>
      </c>
      <c r="T17" s="130"/>
      <c r="U17" s="130"/>
      <c r="V17" s="130"/>
      <c r="W17" s="130"/>
      <c r="AL17" s="625" t="s">
        <v>142</v>
      </c>
      <c r="AM17" s="627"/>
      <c r="AN17" s="1"/>
      <c r="AO17" s="24" t="s">
        <v>90</v>
      </c>
      <c r="AP17" s="51" t="e">
        <f>ABS((AP14-AP13)/(AP13))</f>
        <v>#VALUE!</v>
      </c>
      <c r="AR17" s="24" t="s">
        <v>153</v>
      </c>
      <c r="AS17" s="23" t="e">
        <f>AS11-AS16</f>
        <v>#REF!</v>
      </c>
      <c r="AT17" s="16"/>
      <c r="AY17" s="52">
        <v>12.7</v>
      </c>
      <c r="AZ17" s="19">
        <f>Table3[[#This Row],[R]]*10</f>
        <v>127</v>
      </c>
      <c r="BA17" s="18">
        <f>Table3[[#This Row],[R2]]*10</f>
        <v>1270</v>
      </c>
      <c r="BB17" s="18">
        <f>Table3[[#This Row],[R3]]*10</f>
        <v>12700</v>
      </c>
      <c r="BC17" s="18">
        <f>Table3[[#This Row],[R4]]*10</f>
        <v>127000</v>
      </c>
      <c r="BD17" s="20">
        <f>Table3[[#This Row],[R]]/10</f>
        <v>1.27</v>
      </c>
      <c r="BE17" s="20">
        <f>Table3[[#This Row],[R6]]/10</f>
        <v>0.127</v>
      </c>
      <c r="BF17" s="20">
        <f>Table3[[#This Row],[R7]]/10</f>
        <v>1.2699999999999999E-2</v>
      </c>
      <c r="BG17" s="20">
        <f>Table3[[#This Row],[R8]]/10</f>
        <v>1.2699999999999999E-3</v>
      </c>
      <c r="BH17" s="20">
        <f>Table3[[#This Row],[R9]]/10</f>
        <v>1.27E-4</v>
      </c>
    </row>
    <row r="18" spans="2:60" ht="17" customHeight="1" thickBot="1">
      <c r="B18" s="132"/>
      <c r="C18" s="132"/>
      <c r="D18" s="132"/>
      <c r="E18" s="132"/>
      <c r="G18" s="661" t="s">
        <v>261</v>
      </c>
      <c r="H18" s="662"/>
      <c r="I18" s="662"/>
      <c r="J18" s="662"/>
      <c r="K18" s="662"/>
      <c r="L18" s="663"/>
      <c r="M18" s="135"/>
      <c r="T18" s="130"/>
      <c r="U18" s="130"/>
      <c r="V18" s="130"/>
      <c r="W18" s="79"/>
      <c r="AL18" s="13" t="s">
        <v>100</v>
      </c>
      <c r="AM18" s="14" t="e">
        <f>K9/(AO36+AO37+(1/((1/#REF!)+(1/(2*K13+K15+AP10)))))</f>
        <v>#REF!</v>
      </c>
      <c r="AN18" s="1"/>
      <c r="AO18" s="24" t="s">
        <v>89</v>
      </c>
      <c r="AP18" s="51" t="e">
        <f>ABS((AP15-AP13)/(AP13))</f>
        <v>#VALUE!</v>
      </c>
      <c r="AR18" s="24" t="s">
        <v>154</v>
      </c>
      <c r="AS18" s="48" t="e">
        <f>1/((1/(((AS17/1000)/K9)*(AO36+AO37)/(1-((AS17/1000)/K9))))-(1/(K13+VLOOKUP(K8,Devices[],COLUMN(Devices[Single-Ended Input Resistance]),0))))</f>
        <v>#REF!</v>
      </c>
      <c r="AT18" s="16"/>
      <c r="AY18" s="52">
        <v>13</v>
      </c>
      <c r="AZ18" s="19">
        <f>Table3[[#This Row],[R]]*10</f>
        <v>130</v>
      </c>
      <c r="BA18" s="18">
        <f>Table3[[#This Row],[R2]]*10</f>
        <v>1300</v>
      </c>
      <c r="BB18" s="18">
        <f>Table3[[#This Row],[R3]]*10</f>
        <v>13000</v>
      </c>
      <c r="BC18" s="18">
        <f>Table3[[#This Row],[R4]]*10</f>
        <v>130000</v>
      </c>
      <c r="BD18" s="20">
        <f>Table3[[#This Row],[R]]/10</f>
        <v>1.3</v>
      </c>
      <c r="BE18" s="20">
        <f>Table3[[#This Row],[R6]]/10</f>
        <v>0.13</v>
      </c>
      <c r="BF18" s="20">
        <f>Table3[[#This Row],[R7]]/10</f>
        <v>1.3000000000000001E-2</v>
      </c>
      <c r="BG18" s="20">
        <f>Table3[[#This Row],[R8]]/10</f>
        <v>1.3000000000000002E-3</v>
      </c>
      <c r="BH18" s="20">
        <f>Table3[[#This Row],[R9]]/10</f>
        <v>1.3000000000000002E-4</v>
      </c>
    </row>
    <row r="19" spans="2:60" ht="15" customHeight="1" thickBot="1">
      <c r="B19" s="132"/>
      <c r="C19" s="132"/>
      <c r="D19" s="132"/>
      <c r="E19" s="132"/>
      <c r="G19" s="172" t="s">
        <v>241</v>
      </c>
      <c r="H19" s="173"/>
      <c r="I19" s="173"/>
      <c r="J19" s="174"/>
      <c r="K19" s="715">
        <v>8</v>
      </c>
      <c r="L19" s="716"/>
      <c r="M19" s="144"/>
      <c r="N19" s="657" t="str">
        <f>IF(K11&lt;VLOOKUP(K8, Devices[], COLUMN(Devices[Temp Min]), 0), " Input exceeds rated minimum operating temperature.","")</f>
        <v/>
      </c>
      <c r="O19" s="657"/>
      <c r="P19" s="657"/>
      <c r="Q19" s="657"/>
      <c r="R19" s="657"/>
      <c r="T19" s="130"/>
      <c r="U19" s="130"/>
      <c r="V19" s="130"/>
      <c r="W19" s="130"/>
      <c r="AD19" s="27"/>
      <c r="AE19" s="27"/>
      <c r="AL19" s="15" t="s">
        <v>101</v>
      </c>
      <c r="AM19" s="40" t="e">
        <f>AM18*#REF!/(2*K13+K15+AP10)-VLOOKUP(K8, Devices[], COLUMN(Devices[Bias Current]))/1000000</f>
        <v>#REF!</v>
      </c>
      <c r="AN19" s="1"/>
      <c r="AO19" s="36" t="s">
        <v>141</v>
      </c>
      <c r="AP19" s="39" t="e">
        <f>MAX(AP16:AP18)</f>
        <v>#DIV/0!</v>
      </c>
      <c r="AR19" s="24" t="s">
        <v>155</v>
      </c>
      <c r="AS19" s="68">
        <f>K10/1000</f>
        <v>1E-3</v>
      </c>
      <c r="AY19" s="52">
        <v>13.3</v>
      </c>
      <c r="AZ19" s="19">
        <f>Table3[[#This Row],[R]]*10</f>
        <v>133</v>
      </c>
      <c r="BA19" s="18">
        <f>Table3[[#This Row],[R2]]*10</f>
        <v>1330</v>
      </c>
      <c r="BB19" s="18">
        <f>Table3[[#This Row],[R3]]*10</f>
        <v>13300</v>
      </c>
      <c r="BC19" s="18">
        <f>Table3[[#This Row],[R4]]*10</f>
        <v>133000</v>
      </c>
      <c r="BD19" s="20">
        <f>Table3[[#This Row],[R]]/10</f>
        <v>1.33</v>
      </c>
      <c r="BE19" s="20">
        <f>Table3[[#This Row],[R6]]/10</f>
        <v>0.13300000000000001</v>
      </c>
      <c r="BF19" s="20">
        <f>Table3[[#This Row],[R7]]/10</f>
        <v>1.3300000000000001E-2</v>
      </c>
      <c r="BG19" s="20">
        <f>Table3[[#This Row],[R8]]/10</f>
        <v>1.33E-3</v>
      </c>
      <c r="BH19" s="20">
        <f>Table3[[#This Row],[R9]]/10</f>
        <v>1.3300000000000001E-4</v>
      </c>
    </row>
    <row r="20" spans="2:60" ht="15" customHeight="1" thickBot="1">
      <c r="B20" s="132"/>
      <c r="C20" s="132"/>
      <c r="D20" s="132"/>
      <c r="E20" s="132"/>
      <c r="G20" s="175" t="s">
        <v>259</v>
      </c>
      <c r="H20" s="176"/>
      <c r="I20" s="176"/>
      <c r="J20" s="177"/>
      <c r="K20" s="717">
        <v>170</v>
      </c>
      <c r="L20" s="718"/>
      <c r="M20" s="139"/>
      <c r="N20" s="636" t="str">
        <f>IF(K12&lt;VLOOKUP(K8, Devices[], COLUMN(Devices[Temp Min]), 0), " Input exceeds rated maximum operating temperature.","")</f>
        <v/>
      </c>
      <c r="O20" s="636"/>
      <c r="P20" s="636"/>
      <c r="Q20" s="636"/>
      <c r="T20" s="130"/>
      <c r="U20" s="130"/>
      <c r="V20" s="130"/>
      <c r="W20" s="130"/>
      <c r="AD20" s="27"/>
      <c r="AE20" s="27"/>
      <c r="AI20" s="166"/>
      <c r="AL20" s="667" t="s">
        <v>139</v>
      </c>
      <c r="AM20" s="668"/>
      <c r="AO20" s="625" t="s">
        <v>136</v>
      </c>
      <c r="AP20" s="627"/>
      <c r="AR20" s="24" t="s">
        <v>156</v>
      </c>
      <c r="AS20" s="74">
        <f>AS19*VLOOKUP(K8,Devices[],COLUMN(Devices[Bias Current]),0)/1000000</f>
        <v>0</v>
      </c>
      <c r="AY20" s="52">
        <v>13.7</v>
      </c>
      <c r="AZ20" s="19">
        <f>Table3[[#This Row],[R]]*10</f>
        <v>137</v>
      </c>
      <c r="BA20" s="18">
        <f>Table3[[#This Row],[R2]]*10</f>
        <v>1370</v>
      </c>
      <c r="BB20" s="18">
        <f>Table3[[#This Row],[R3]]*10</f>
        <v>13700</v>
      </c>
      <c r="BC20" s="18">
        <f>Table3[[#This Row],[R4]]*10</f>
        <v>137000</v>
      </c>
      <c r="BD20" s="20">
        <f>Table3[[#This Row],[R]]/10</f>
        <v>1.3699999999999999</v>
      </c>
      <c r="BE20" s="20">
        <f>Table3[[#This Row],[R6]]/10</f>
        <v>0.13699999999999998</v>
      </c>
      <c r="BF20" s="20">
        <f>Table3[[#This Row],[R7]]/10</f>
        <v>1.3699999999999999E-2</v>
      </c>
      <c r="BG20" s="20">
        <f>Table3[[#This Row],[R8]]/10</f>
        <v>1.3699999999999999E-3</v>
      </c>
      <c r="BH20" s="20">
        <f>Table3[[#This Row],[R9]]/10</f>
        <v>1.37E-4</v>
      </c>
    </row>
    <row r="21" spans="2:60" ht="15" customHeight="1" thickBot="1">
      <c r="C21" s="132"/>
      <c r="D21" s="132"/>
      <c r="E21" s="132"/>
      <c r="G21" s="676" t="s">
        <v>258</v>
      </c>
      <c r="H21" s="677"/>
      <c r="I21" s="677"/>
      <c r="J21" s="678"/>
      <c r="K21" s="719" t="str">
        <f>IF(OR(K8="[Select Device]",K7="[Select Configuration]")," ",K19/K22*1000)</f>
        <v xml:space="preserve"> </v>
      </c>
      <c r="L21" s="720"/>
      <c r="N21" s="671" t="str">
        <f>IF(K12&gt;K20, "Abient Temperature Maximum exceeds Shunt Max Operating Temperature.", "")</f>
        <v/>
      </c>
      <c r="O21" s="671"/>
      <c r="P21" s="671"/>
      <c r="Q21" s="671"/>
      <c r="R21" s="671"/>
      <c r="S21" s="213"/>
      <c r="T21" s="213"/>
      <c r="U21" s="213"/>
      <c r="V21" s="127"/>
      <c r="W21" s="127"/>
      <c r="AD21" s="27"/>
      <c r="AE21" s="27"/>
      <c r="AL21" s="61" t="s">
        <v>134</v>
      </c>
      <c r="AM21" s="22" t="e">
        <f>(AP10/(2*K13+AP10))</f>
        <v>#VALUE!</v>
      </c>
      <c r="AO21" s="13" t="e">
        <f>1-Temp_Range*10^-6*#REF!</f>
        <v>#REF!</v>
      </c>
      <c r="AP21" s="14" t="e">
        <f>AP9*AO21</f>
        <v>#VALUE!</v>
      </c>
      <c r="AR21" s="13" t="s">
        <v>158</v>
      </c>
      <c r="AS21" s="72">
        <f>1/((1/$AS$19)+(1/($K$13+VLOOKUP($K$8,Devices[],COLUMN(Devices[Single-Ended Input Resistance]),0))))</f>
        <v>9.9990000999900007E-4</v>
      </c>
      <c r="AY21" s="52">
        <v>14</v>
      </c>
      <c r="AZ21" s="19">
        <f>Table3[[#This Row],[R]]*10</f>
        <v>140</v>
      </c>
      <c r="BA21" s="18">
        <f>Table3[[#This Row],[R2]]*10</f>
        <v>1400</v>
      </c>
      <c r="BB21" s="18">
        <f>Table3[[#This Row],[R3]]*10</f>
        <v>14000</v>
      </c>
      <c r="BC21" s="18">
        <f>Table3[[#This Row],[R4]]*10</f>
        <v>140000</v>
      </c>
      <c r="BD21" s="20">
        <f>Table3[[#This Row],[R]]/10</f>
        <v>1.4</v>
      </c>
      <c r="BE21" s="20">
        <f>Table3[[#This Row],[R6]]/10</f>
        <v>0.13999999999999999</v>
      </c>
      <c r="BF21" s="20">
        <f>Table3[[#This Row],[R7]]/10</f>
        <v>1.3999999999999999E-2</v>
      </c>
      <c r="BG21" s="20">
        <f>Table3[[#This Row],[R8]]/10</f>
        <v>1.3999999999999998E-3</v>
      </c>
      <c r="BH21" s="20">
        <f>Table3[[#This Row],[R9]]/10</f>
        <v>1.3999999999999999E-4</v>
      </c>
    </row>
    <row r="22" spans="2:60" ht="15" customHeight="1" thickBot="1">
      <c r="B22" s="8" t="str">
        <f>IF(K7="Differential","A sample diagram of a circuit with an AMC1300B-Q1 device.",IF(K7="Single-Ended","Above: A sample diagram of a circuit with an AMC1311 device."," "))</f>
        <v xml:space="preserve"> </v>
      </c>
      <c r="C22" s="132"/>
      <c r="D22" s="132"/>
      <c r="E22" s="132"/>
      <c r="G22" s="676" t="s">
        <v>255</v>
      </c>
      <c r="H22" s="677"/>
      <c r="I22" s="677"/>
      <c r="J22" s="678"/>
      <c r="K22" s="721" t="str">
        <f>IF(OR(K8="[Select Device]",K7="[Select Configuration]")," ",SQRT(K19/K10/1000)*1000)</f>
        <v xml:space="preserve"> </v>
      </c>
      <c r="L22" s="722"/>
      <c r="N22" s="637" t="str">
        <f>IF(OR(K8="[Select Device]",K7="[Select Configuration]")," ",IF(K21&lt;K31, "+FS Input beyond Shunt Rated Voltage and Maximum Current beyond Shunt Rated Current. 
Decrease Shunt Resistance or increase Shunt Wattage.", " "))</f>
        <v xml:space="preserve"> </v>
      </c>
      <c r="O22" s="637"/>
      <c r="P22" s="637"/>
      <c r="Q22" s="637"/>
      <c r="R22" s="637"/>
      <c r="S22" s="213"/>
      <c r="T22" s="213"/>
      <c r="U22" s="213"/>
      <c r="V22" s="129"/>
      <c r="W22" s="129"/>
      <c r="AD22" s="27"/>
      <c r="AE22" s="27"/>
      <c r="AL22" s="24" t="s">
        <v>84</v>
      </c>
      <c r="AM22" s="14" t="e">
        <f>(AP9/(2*K13+AP9))</f>
        <v>#VALUE!</v>
      </c>
      <c r="AO22" s="13" t="e">
        <f>1+Temp_Range*10^-6*#REF!</f>
        <v>#REF!</v>
      </c>
      <c r="AP22" s="14" t="e">
        <f>AP11*AO22</f>
        <v>#VALUE!</v>
      </c>
      <c r="AR22" s="13" t="s">
        <v>159</v>
      </c>
      <c r="AS22" s="14">
        <f>$K$9*($AS$21)*1000</f>
        <v>49.995000499950002</v>
      </c>
      <c r="AY22" s="59">
        <v>14.3</v>
      </c>
      <c r="AZ22" s="19">
        <f>Table3[[#This Row],[R]]*10</f>
        <v>143</v>
      </c>
      <c r="BA22" s="18">
        <f>Table3[[#This Row],[R2]]*10</f>
        <v>1430</v>
      </c>
      <c r="BB22" s="18">
        <f>Table3[[#This Row],[R3]]*10</f>
        <v>14300</v>
      </c>
      <c r="BC22" s="18">
        <f>Table3[[#This Row],[R4]]*10</f>
        <v>143000</v>
      </c>
      <c r="BD22" s="20">
        <f>Table3[[#This Row],[R]]/10</f>
        <v>1.4300000000000002</v>
      </c>
      <c r="BE22" s="20">
        <f>Table3[[#This Row],[R6]]/10</f>
        <v>0.14300000000000002</v>
      </c>
      <c r="BF22" s="20">
        <f>Table3[[#This Row],[R7]]/10</f>
        <v>1.4300000000000002E-2</v>
      </c>
      <c r="BG22" s="20">
        <f>Table3[[#This Row],[R8]]/10</f>
        <v>1.4300000000000003E-3</v>
      </c>
      <c r="BH22" s="20">
        <f>Table3[[#This Row],[R9]]/10</f>
        <v>1.4300000000000003E-4</v>
      </c>
    </row>
    <row r="23" spans="2:60" ht="15" customHeight="1" thickBot="1">
      <c r="B23" s="8" t="str">
        <f>IF(K7&lt;&gt;"[Select Configuration]","Note that all errors are output referred to the Full-Scale (FSR) output value.L27"," ")</f>
        <v xml:space="preserve"> </v>
      </c>
      <c r="C23" s="132"/>
      <c r="D23" s="132"/>
      <c r="E23" s="132"/>
      <c r="G23" s="172" t="s">
        <v>262</v>
      </c>
      <c r="H23" s="173"/>
      <c r="I23" s="173"/>
      <c r="J23" s="174"/>
      <c r="K23" s="721" t="str">
        <f>IF(OR(K8="[Select Device]",K7="[Select Configuration]")," ",K22*0.66)</f>
        <v xml:space="preserve"> </v>
      </c>
      <c r="L23" s="722"/>
      <c r="M23" s="128"/>
      <c r="N23" s="637"/>
      <c r="O23" s="637"/>
      <c r="P23" s="637"/>
      <c r="Q23" s="637"/>
      <c r="R23" s="637"/>
      <c r="T23" s="129"/>
      <c r="U23" s="129"/>
      <c r="V23" s="129"/>
      <c r="W23" s="129"/>
      <c r="AD23" s="27"/>
      <c r="AE23" s="27"/>
      <c r="AL23" s="24" t="s">
        <v>91</v>
      </c>
      <c r="AM23" s="14" t="e">
        <f>(AP21/(2*K13+AP21))</f>
        <v>#VALUE!</v>
      </c>
      <c r="AO23" s="13"/>
      <c r="AP23" s="14"/>
      <c r="AR23" s="13" t="s">
        <v>160</v>
      </c>
      <c r="AS23" s="70">
        <f>AS22</f>
        <v>49.995000499950002</v>
      </c>
      <c r="AY23" s="54">
        <v>14.7</v>
      </c>
      <c r="AZ23" s="19">
        <f>Table3[[#This Row],[R]]*10</f>
        <v>147</v>
      </c>
      <c r="BA23" s="18">
        <f>Table3[[#This Row],[R2]]*10</f>
        <v>1470</v>
      </c>
      <c r="BB23" s="18">
        <f>Table3[[#This Row],[R3]]*10</f>
        <v>14700</v>
      </c>
      <c r="BC23" s="18">
        <f>Table3[[#This Row],[R4]]*10</f>
        <v>147000</v>
      </c>
      <c r="BD23" s="20">
        <f>Table3[[#This Row],[R]]/10</f>
        <v>1.47</v>
      </c>
      <c r="BE23" s="20">
        <f>Table3[[#This Row],[R6]]/10</f>
        <v>0.14699999999999999</v>
      </c>
      <c r="BF23" s="20">
        <f>Table3[[#This Row],[R7]]/10</f>
        <v>1.47E-2</v>
      </c>
      <c r="BG23" s="20">
        <f>Table3[[#This Row],[R8]]/10</f>
        <v>1.47E-3</v>
      </c>
      <c r="BH23" s="20">
        <f>Table3[[#This Row],[R9]]/10</f>
        <v>1.47E-4</v>
      </c>
    </row>
    <row r="24" spans="2:60" ht="15" customHeight="1" thickBot="1">
      <c r="G24" s="679">
        <f>K12</f>
        <v>125</v>
      </c>
      <c r="H24" s="680"/>
      <c r="I24" s="680"/>
      <c r="J24" s="681"/>
      <c r="K24" s="723" t="str">
        <f>IF(OR(K8="[Select Device]",K7="[Select Configuration]")," ",SQRT(K19*0.66*(1-(K12-25)/(K20-25))/(K21/1000/K22)))</f>
        <v xml:space="preserve"> </v>
      </c>
      <c r="L24" s="724"/>
      <c r="M24" s="145"/>
      <c r="T24" s="128"/>
      <c r="U24" s="128"/>
      <c r="V24" s="128"/>
      <c r="W24" s="128"/>
      <c r="AD24" s="27"/>
      <c r="AE24" s="27"/>
      <c r="AL24" s="24" t="s">
        <v>83</v>
      </c>
      <c r="AM24" s="14" t="e">
        <f>(AP11/(2*K13+AP11))</f>
        <v>#VALUE!</v>
      </c>
      <c r="AO24" s="13" t="s">
        <v>92</v>
      </c>
      <c r="AP24" s="47" t="e">
        <f>IF(OR(K7="Differential",K7="Single-Ended"),AS44,(AN14*K9+AM19*K13)*1000)</f>
        <v>#VALUE!</v>
      </c>
      <c r="AR24" s="25" t="s">
        <v>161</v>
      </c>
      <c r="AS24" s="71">
        <f>$AS$23+$AS$20</f>
        <v>49.995000499950002</v>
      </c>
      <c r="AY24" s="52">
        <v>15</v>
      </c>
      <c r="AZ24" s="19">
        <f>Table3[[#This Row],[R]]*10</f>
        <v>150</v>
      </c>
      <c r="BA24" s="18">
        <f>Table3[[#This Row],[R2]]*10</f>
        <v>1500</v>
      </c>
      <c r="BB24" s="18">
        <f>Table3[[#This Row],[R3]]*10</f>
        <v>15000</v>
      </c>
      <c r="BC24" s="18">
        <f>Table3[[#This Row],[R4]]*10</f>
        <v>150000</v>
      </c>
      <c r="BD24" s="20">
        <f>Table3[[#This Row],[R]]/10</f>
        <v>1.5</v>
      </c>
      <c r="BE24" s="20">
        <f>Table3[[#This Row],[R6]]/10</f>
        <v>0.15</v>
      </c>
      <c r="BF24" s="20">
        <f>Table3[[#This Row],[R7]]/10</f>
        <v>1.4999999999999999E-2</v>
      </c>
      <c r="BG24" s="20">
        <f>Table3[[#This Row],[R8]]/10</f>
        <v>1.5E-3</v>
      </c>
      <c r="BH24" s="20">
        <f>Table3[[#This Row],[R9]]/10</f>
        <v>1.5000000000000001E-4</v>
      </c>
    </row>
    <row r="25" spans="2:60" ht="15" customHeight="1" thickBot="1">
      <c r="F25" s="133"/>
      <c r="G25" s="901" t="s">
        <v>242</v>
      </c>
      <c r="H25" s="901"/>
      <c r="I25" s="901"/>
      <c r="J25" s="901"/>
      <c r="K25" s="901"/>
      <c r="L25" s="901"/>
      <c r="R25" s="83"/>
      <c r="AD25" s="27"/>
      <c r="AE25" s="27"/>
      <c r="AL25" s="36" t="s">
        <v>93</v>
      </c>
      <c r="AM25" s="26" t="e">
        <f>(AP22/(2*K13+AP22))</f>
        <v>#VALUE!</v>
      </c>
      <c r="AO25" s="15" t="s">
        <v>94</v>
      </c>
      <c r="AP25" s="47" t="e">
        <f>IF(OR(K7="Differential",K7="Single-Ended"),AS39,(AN16*K9+AM19*K13)*1000)</f>
        <v>#VALUE!</v>
      </c>
      <c r="AR25" s="625" t="s">
        <v>126</v>
      </c>
      <c r="AS25" s="627"/>
      <c r="AY25" s="52">
        <v>15.4</v>
      </c>
      <c r="AZ25" s="19">
        <f>Table3[[#This Row],[R]]*10</f>
        <v>154</v>
      </c>
      <c r="BA25" s="18">
        <f>Table3[[#This Row],[R2]]*10</f>
        <v>1540</v>
      </c>
      <c r="BB25" s="18">
        <f>Table3[[#This Row],[R3]]*10</f>
        <v>15400</v>
      </c>
      <c r="BC25" s="18">
        <f>Table3[[#This Row],[R4]]*10</f>
        <v>154000</v>
      </c>
      <c r="BD25" s="20">
        <f>Table3[[#This Row],[R]]/10</f>
        <v>1.54</v>
      </c>
      <c r="BE25" s="20">
        <f>Table3[[#This Row],[R6]]/10</f>
        <v>0.154</v>
      </c>
      <c r="BF25" s="20">
        <f>Table3[[#This Row],[R7]]/10</f>
        <v>1.54E-2</v>
      </c>
      <c r="BG25" s="20">
        <f>Table3[[#This Row],[R8]]/10</f>
        <v>1.5400000000000001E-3</v>
      </c>
      <c r="BH25" s="20">
        <f>Table3[[#This Row],[R9]]/10</f>
        <v>1.54E-4</v>
      </c>
    </row>
    <row r="26" spans="2:60" ht="15" customHeight="1" thickBot="1">
      <c r="G26" s="902"/>
      <c r="H26" s="902"/>
      <c r="I26" s="902"/>
      <c r="J26" s="902"/>
      <c r="K26" s="902"/>
      <c r="L26" s="902"/>
      <c r="O26" s="101"/>
      <c r="R26" s="79"/>
      <c r="S26" s="83"/>
      <c r="T26" s="83"/>
      <c r="U26" s="86"/>
      <c r="V26" s="87"/>
      <c r="W26" s="83"/>
      <c r="AD26" s="27"/>
      <c r="AE26" s="27"/>
      <c r="AO26" s="625" t="s">
        <v>138</v>
      </c>
      <c r="AP26" s="627"/>
      <c r="AR26" s="21" t="s">
        <v>106</v>
      </c>
      <c r="AS26" s="22">
        <f>1/((1/$AS$19)+(1/($K$13+AP29)))</f>
        <v>9.9990000999900007E-4</v>
      </c>
      <c r="AY26" s="52">
        <v>15.8</v>
      </c>
      <c r="AZ26" s="19">
        <f>Table3[[#This Row],[R]]*10</f>
        <v>158</v>
      </c>
      <c r="BA26" s="18">
        <f>Table3[[#This Row],[R2]]*10</f>
        <v>1580</v>
      </c>
      <c r="BB26" s="18">
        <f>Table3[[#This Row],[R3]]*10</f>
        <v>15800</v>
      </c>
      <c r="BC26" s="18">
        <f>Table3[[#This Row],[R4]]*10</f>
        <v>158000</v>
      </c>
      <c r="BD26" s="20">
        <f>Table3[[#This Row],[R]]/10</f>
        <v>1.58</v>
      </c>
      <c r="BE26" s="20">
        <f>Table3[[#This Row],[R6]]/10</f>
        <v>0.158</v>
      </c>
      <c r="BF26" s="20">
        <f>Table3[[#This Row],[R7]]/10</f>
        <v>1.5800000000000002E-2</v>
      </c>
      <c r="BG26" s="20">
        <f>Table3[[#This Row],[R8]]/10</f>
        <v>1.5800000000000002E-3</v>
      </c>
      <c r="BH26" s="20">
        <f>Table3[[#This Row],[R9]]/10</f>
        <v>1.5800000000000002E-4</v>
      </c>
    </row>
    <row r="27" spans="2:60" ht="15" hidden="1" customHeight="1" thickBot="1">
      <c r="F27" s="7"/>
      <c r="G27" s="7"/>
      <c r="H27" s="7"/>
      <c r="O27" s="101"/>
      <c r="R27" s="79"/>
      <c r="S27" s="83"/>
      <c r="T27" s="83"/>
      <c r="U27" s="83"/>
      <c r="V27" s="83"/>
      <c r="W27" s="83"/>
      <c r="AD27" s="27"/>
      <c r="AE27" s="27"/>
      <c r="AO27" s="13" t="s">
        <v>129</v>
      </c>
      <c r="AP27" s="14">
        <f>AP28*0.85</f>
        <v>0</v>
      </c>
      <c r="AR27" s="13" t="s">
        <v>108</v>
      </c>
      <c r="AS27" s="14">
        <f>$K$9*($AS$26)*1000</f>
        <v>49.995000499950002</v>
      </c>
      <c r="AY27" s="52">
        <v>16.2</v>
      </c>
      <c r="AZ27" s="19">
        <f>Table3[[#This Row],[R]]*10</f>
        <v>162</v>
      </c>
      <c r="BA27" s="18">
        <f>Table3[[#This Row],[R2]]*10</f>
        <v>1620</v>
      </c>
      <c r="BB27" s="18">
        <f>Table3[[#This Row],[R3]]*10</f>
        <v>16200</v>
      </c>
      <c r="BC27" s="18">
        <f>Table3[[#This Row],[R4]]*10</f>
        <v>162000</v>
      </c>
      <c r="BD27" s="20">
        <f>Table3[[#This Row],[R]]/10</f>
        <v>1.6199999999999999</v>
      </c>
      <c r="BE27" s="20">
        <f>Table3[[#This Row],[R6]]/10</f>
        <v>0.16199999999999998</v>
      </c>
      <c r="BF27" s="20">
        <f>Table3[[#This Row],[R7]]/10</f>
        <v>1.6199999999999999E-2</v>
      </c>
      <c r="BG27" s="20">
        <f>Table3[[#This Row],[R8]]/10</f>
        <v>1.6199999999999999E-3</v>
      </c>
      <c r="BH27" s="20">
        <f>Table3[[#This Row],[R9]]/10</f>
        <v>1.6199999999999998E-4</v>
      </c>
    </row>
    <row r="28" spans="2:60" ht="15" hidden="1" customHeight="1" thickBot="1">
      <c r="O28" s="101"/>
      <c r="S28" s="85"/>
      <c r="T28" s="85"/>
      <c r="U28" s="85"/>
      <c r="V28" s="85"/>
      <c r="W28" s="85"/>
      <c r="AD28" s="27"/>
      <c r="AE28" s="27"/>
      <c r="AO28" s="13" t="s">
        <v>130</v>
      </c>
      <c r="AP28" s="14">
        <f>VLOOKUP($K$8,Devices[],COLUMN(Devices[Single-Ended Input Resistance]),0)</f>
        <v>0</v>
      </c>
      <c r="AR28" s="13" t="s">
        <v>107</v>
      </c>
      <c r="AS28" s="73">
        <f>$AS$27</f>
        <v>49.995000499950002</v>
      </c>
      <c r="AY28" s="52">
        <v>16.5</v>
      </c>
      <c r="AZ28" s="19">
        <f>Table3[[#This Row],[R]]*10</f>
        <v>165</v>
      </c>
      <c r="BA28" s="18">
        <f>Table3[[#This Row],[R2]]*10</f>
        <v>1650</v>
      </c>
      <c r="BB28" s="18">
        <f>Table3[[#This Row],[R3]]*10</f>
        <v>16500</v>
      </c>
      <c r="BC28" s="18">
        <f>Table3[[#This Row],[R4]]*10</f>
        <v>165000</v>
      </c>
      <c r="BD28" s="20">
        <f>Table3[[#This Row],[R]]/10</f>
        <v>1.65</v>
      </c>
      <c r="BE28" s="20">
        <f>Table3[[#This Row],[R6]]/10</f>
        <v>0.16499999999999998</v>
      </c>
      <c r="BF28" s="20">
        <f>Table3[[#This Row],[R7]]/10</f>
        <v>1.6499999999999997E-2</v>
      </c>
      <c r="BG28" s="20">
        <f>Table3[[#This Row],[R8]]/10</f>
        <v>1.6499999999999998E-3</v>
      </c>
      <c r="BH28" s="20">
        <f>Table3[[#This Row],[R9]]/10</f>
        <v>1.6499999999999997E-4</v>
      </c>
    </row>
    <row r="29" spans="2:60" ht="15" customHeight="1" thickBot="1">
      <c r="N29" s="94"/>
      <c r="O29" s="94"/>
      <c r="P29" s="94"/>
      <c r="Q29" s="94"/>
      <c r="AD29" s="27"/>
      <c r="AE29" s="27"/>
      <c r="AL29" s="667" t="s">
        <v>169</v>
      </c>
      <c r="AM29" s="668"/>
      <c r="AO29" s="13" t="s">
        <v>131</v>
      </c>
      <c r="AP29" s="14">
        <f>AP28*1.15</f>
        <v>0</v>
      </c>
      <c r="AR29" s="25" t="s">
        <v>109</v>
      </c>
      <c r="AS29" s="73">
        <f>$AS$28+$AS$20</f>
        <v>49.995000499950002</v>
      </c>
      <c r="AY29" s="52">
        <v>16.899999999999999</v>
      </c>
      <c r="AZ29" s="19">
        <f>Table3[[#This Row],[R]]*10</f>
        <v>169</v>
      </c>
      <c r="BA29" s="18">
        <f>Table3[[#This Row],[R2]]*10</f>
        <v>1690</v>
      </c>
      <c r="BB29" s="18">
        <f>Table3[[#This Row],[R3]]*10</f>
        <v>16900</v>
      </c>
      <c r="BC29" s="18">
        <f>Table3[[#This Row],[R4]]*10</f>
        <v>169000</v>
      </c>
      <c r="BD29" s="20">
        <f>Table3[[#This Row],[R]]/10</f>
        <v>1.69</v>
      </c>
      <c r="BE29" s="20">
        <f>Table3[[#This Row],[R6]]/10</f>
        <v>0.16899999999999998</v>
      </c>
      <c r="BF29" s="20">
        <f>Table3[[#This Row],[R7]]/10</f>
        <v>1.6899999999999998E-2</v>
      </c>
      <c r="BG29" s="20">
        <f>Table3[[#This Row],[R8]]/10</f>
        <v>1.6899999999999999E-3</v>
      </c>
      <c r="BH29" s="20">
        <f>Table3[[#This Row],[R9]]/10</f>
        <v>1.6899999999999999E-4</v>
      </c>
    </row>
    <row r="30" spans="2:60" ht="25.05" customHeight="1" thickBot="1">
      <c r="B30" s="661" t="str">
        <f>K8&amp;" Error Calculation Across Temperature ("&amp;K11&amp;"°C to +"&amp;K12&amp;"°C)"</f>
        <v>[Select Device] Error Calculation Across Temperature (-40°C to +125°C)</v>
      </c>
      <c r="C30" s="662"/>
      <c r="D30" s="662"/>
      <c r="E30" s="662"/>
      <c r="F30" s="662"/>
      <c r="G30" s="662"/>
      <c r="H30" s="662"/>
      <c r="I30" s="662"/>
      <c r="J30" s="662"/>
      <c r="K30" s="662"/>
      <c r="L30" s="663"/>
      <c r="M30" s="135"/>
      <c r="N30" s="660" t="s">
        <v>99</v>
      </c>
      <c r="O30" s="660"/>
      <c r="P30" s="660"/>
      <c r="Q30" s="660"/>
      <c r="R30" s="109"/>
      <c r="T30" s="95"/>
      <c r="AD30" s="27"/>
      <c r="AE30" s="27"/>
      <c r="AL30" s="669" t="e">
        <f>G31*1.12</f>
        <v>#VALUE!</v>
      </c>
      <c r="AM30" s="670"/>
      <c r="AO30" s="13" t="s">
        <v>132</v>
      </c>
      <c r="AP30" s="14" t="e">
        <f>AP27*AO21</f>
        <v>#REF!</v>
      </c>
      <c r="AR30" s="625" t="s">
        <v>125</v>
      </c>
      <c r="AS30" s="627"/>
      <c r="AY30" s="59">
        <v>17.399999999999999</v>
      </c>
      <c r="AZ30" s="19">
        <f>Table3[[#This Row],[R]]*10</f>
        <v>174</v>
      </c>
      <c r="BA30" s="18">
        <f>Table3[[#This Row],[R2]]*10</f>
        <v>1740</v>
      </c>
      <c r="BB30" s="18">
        <f>Table3[[#This Row],[R3]]*10</f>
        <v>17400</v>
      </c>
      <c r="BC30" s="18">
        <f>Table3[[#This Row],[R4]]*10</f>
        <v>174000</v>
      </c>
      <c r="BD30" s="20">
        <f>Table3[[#This Row],[R]]/10</f>
        <v>1.7399999999999998</v>
      </c>
      <c r="BE30" s="20">
        <f>Table3[[#This Row],[R6]]/10</f>
        <v>0.17399999999999999</v>
      </c>
      <c r="BF30" s="20">
        <f>Table3[[#This Row],[R7]]/10</f>
        <v>1.7399999999999999E-2</v>
      </c>
      <c r="BG30" s="20">
        <f>Table3[[#This Row],[R8]]/10</f>
        <v>1.7399999999999998E-3</v>
      </c>
      <c r="BH30" s="20">
        <f>Table3[[#This Row],[R9]]/10</f>
        <v>1.7399999999999997E-4</v>
      </c>
    </row>
    <row r="31" spans="2:60" ht="15" customHeight="1" thickBot="1">
      <c r="B31" s="664" t="s">
        <v>277</v>
      </c>
      <c r="C31" s="665"/>
      <c r="D31" s="665"/>
      <c r="E31" s="665"/>
      <c r="F31" s="666"/>
      <c r="G31" s="760" t="str">
        <f>IF(OR(K8="[Select Device]", K8=" "), " ", VLOOKUP(K8, Devices[], COLUMN(Devices[±Input Voltage Range]),0))</f>
        <v xml:space="preserve"> </v>
      </c>
      <c r="H31" s="761"/>
      <c r="I31" s="645" t="s">
        <v>252</v>
      </c>
      <c r="J31" s="646"/>
      <c r="K31" s="725" t="str">
        <f>IF(OR(K8="[Select Device]",K7="[Select Configuration]")," ",IF(OR(K7="Differential",K7="Single-Ended"),AS24,AP13))</f>
        <v xml:space="preserve"> </v>
      </c>
      <c r="L31" s="726"/>
      <c r="M31" s="146"/>
      <c r="N31" s="92"/>
      <c r="O31" s="92"/>
      <c r="P31" s="92"/>
      <c r="Q31" s="92"/>
      <c r="R31" s="92"/>
      <c r="T31" s="96"/>
      <c r="AD31" s="27"/>
      <c r="AE31" s="27"/>
      <c r="AO31" s="15" t="s">
        <v>133</v>
      </c>
      <c r="AP31" s="26" t="e">
        <f>AP29*AO22</f>
        <v>#REF!</v>
      </c>
      <c r="AR31" s="21" t="s">
        <v>106</v>
      </c>
      <c r="AS31" s="22">
        <f>1/((1/$AS$19)+(1/($K$13+AP27)))</f>
        <v>9.9990000999900007E-4</v>
      </c>
      <c r="AY31" s="54">
        <v>17.8</v>
      </c>
      <c r="AZ31" s="19">
        <f>Table3[[#This Row],[R]]*10</f>
        <v>178</v>
      </c>
      <c r="BA31" s="18">
        <f>Table3[[#This Row],[R2]]*10</f>
        <v>1780</v>
      </c>
      <c r="BB31" s="18">
        <f>Table3[[#This Row],[R3]]*10</f>
        <v>17800</v>
      </c>
      <c r="BC31" s="18">
        <f>Table3[[#This Row],[R4]]*10</f>
        <v>178000</v>
      </c>
      <c r="BD31" s="20">
        <f>Table3[[#This Row],[R]]/10</f>
        <v>1.78</v>
      </c>
      <c r="BE31" s="20">
        <f>Table3[[#This Row],[R6]]/10</f>
        <v>0.17799999999999999</v>
      </c>
      <c r="BF31" s="20">
        <f>Table3[[#This Row],[R7]]/10</f>
        <v>1.78E-2</v>
      </c>
      <c r="BG31" s="20">
        <f>Table3[[#This Row],[R8]]/10</f>
        <v>1.7799999999999999E-3</v>
      </c>
      <c r="BH31" s="20">
        <f>Table3[[#This Row],[R9]]/10</f>
        <v>1.7799999999999999E-4</v>
      </c>
    </row>
    <row r="32" spans="2:60" ht="15" customHeight="1" thickBot="1">
      <c r="B32" s="673" t="s">
        <v>278</v>
      </c>
      <c r="C32" s="674"/>
      <c r="D32" s="674"/>
      <c r="E32" s="674"/>
      <c r="F32" s="675"/>
      <c r="G32" s="899" t="str">
        <f>IF(OR(K8="[Select Device]", K8=" "), " ", VLOOKUP(K8, Devices[], COLUMN(Devices[±Output Voltage Range]),0))</f>
        <v xml:space="preserve"> </v>
      </c>
      <c r="H32" s="900"/>
      <c r="I32" s="640" t="s">
        <v>253</v>
      </c>
      <c r="J32" s="641"/>
      <c r="K32" s="727" t="str">
        <f>IF(OR(K8="[Select Device]",K7="[Select Configuration]")," ",K31/1000*VLOOKUP(K8,Devices[],COLUMN(Devices[Gain]),0))</f>
        <v xml:space="preserve"> </v>
      </c>
      <c r="L32" s="728"/>
      <c r="M32" s="147"/>
      <c r="N32" s="3"/>
      <c r="O32" s="3"/>
      <c r="P32" s="3"/>
      <c r="Q32" s="3"/>
      <c r="R32" s="3"/>
      <c r="T32" s="3"/>
      <c r="AD32" s="27"/>
      <c r="AE32" s="27"/>
      <c r="AR32" s="13" t="s">
        <v>108</v>
      </c>
      <c r="AS32" s="14">
        <f>$K$9*($AS$31)*1000</f>
        <v>49.995000499950002</v>
      </c>
      <c r="AY32" s="52">
        <v>18.2</v>
      </c>
      <c r="AZ32" s="19">
        <f>Table3[[#This Row],[R]]*10</f>
        <v>182</v>
      </c>
      <c r="BA32" s="18">
        <f>Table3[[#This Row],[R2]]*10</f>
        <v>1820</v>
      </c>
      <c r="BB32" s="18">
        <f>Table3[[#This Row],[R3]]*10</f>
        <v>18200</v>
      </c>
      <c r="BC32" s="18">
        <f>Table3[[#This Row],[R4]]*10</f>
        <v>182000</v>
      </c>
      <c r="BD32" s="20">
        <f>Table3[[#This Row],[R]]/10</f>
        <v>1.8199999999999998</v>
      </c>
      <c r="BE32" s="20">
        <f>Table3[[#This Row],[R6]]/10</f>
        <v>0.182</v>
      </c>
      <c r="BF32" s="20">
        <f>Table3[[#This Row],[R7]]/10</f>
        <v>1.8200000000000001E-2</v>
      </c>
      <c r="BG32" s="20">
        <f>Table3[[#This Row],[R8]]/10</f>
        <v>1.82E-3</v>
      </c>
      <c r="BH32" s="20">
        <f>Table3[[#This Row],[R9]]/10</f>
        <v>1.8200000000000001E-4</v>
      </c>
    </row>
    <row r="33" spans="2:60" ht="20" customHeight="1" thickBot="1">
      <c r="B33" s="683" t="s">
        <v>0</v>
      </c>
      <c r="C33" s="684"/>
      <c r="D33" s="684"/>
      <c r="E33" s="642" t="s">
        <v>22</v>
      </c>
      <c r="F33" s="643"/>
      <c r="G33" s="762" t="s">
        <v>23</v>
      </c>
      <c r="H33" s="643"/>
      <c r="I33" s="642" t="s">
        <v>265</v>
      </c>
      <c r="J33" s="643"/>
      <c r="K33" s="642" t="s">
        <v>266</v>
      </c>
      <c r="L33" s="729"/>
      <c r="M33" s="148"/>
      <c r="N33" s="103" t="s">
        <v>267</v>
      </c>
      <c r="O33" s="111"/>
      <c r="P33" s="111"/>
      <c r="Q33" s="111"/>
      <c r="R33" s="108"/>
      <c r="AD33" s="27"/>
      <c r="AE33" s="27"/>
      <c r="AR33" s="13" t="s">
        <v>107</v>
      </c>
      <c r="AS33" s="73">
        <f>AS32</f>
        <v>49.995000499950002</v>
      </c>
      <c r="AY33" s="52">
        <v>18.7</v>
      </c>
      <c r="AZ33" s="19">
        <f>Table3[[#This Row],[R]]*10</f>
        <v>187</v>
      </c>
      <c r="BA33" s="18">
        <f>Table3[[#This Row],[R2]]*10</f>
        <v>1870</v>
      </c>
      <c r="BB33" s="18">
        <f>Table3[[#This Row],[R3]]*10</f>
        <v>18700</v>
      </c>
      <c r="BC33" s="18">
        <f>Table3[[#This Row],[R4]]*10</f>
        <v>187000</v>
      </c>
      <c r="BD33" s="20">
        <f>Table3[[#This Row],[R]]/10</f>
        <v>1.8699999999999999</v>
      </c>
      <c r="BE33" s="20">
        <f>Table3[[#This Row],[R6]]/10</f>
        <v>0.187</v>
      </c>
      <c r="BF33" s="20">
        <f>Table3[[#This Row],[R7]]/10</f>
        <v>1.8700000000000001E-2</v>
      </c>
      <c r="BG33" s="20">
        <f>Table3[[#This Row],[R8]]/10</f>
        <v>1.8700000000000001E-3</v>
      </c>
      <c r="BH33" s="20">
        <f>Table3[[#This Row],[R9]]/10</f>
        <v>1.8700000000000002E-4</v>
      </c>
    </row>
    <row r="34" spans="2:60" ht="15" customHeight="1" thickBot="1">
      <c r="B34" s="703" t="s">
        <v>164</v>
      </c>
      <c r="C34" s="704"/>
      <c r="D34" s="705"/>
      <c r="E34" s="682" t="str">
        <f>IF(K7="[Select Configuration]", " ", IF(K8="[Select Device]", " ", VLOOKUP(K8, Devices[], COLUMN(Devices[Gain Error Typ]), 0)))</f>
        <v xml:space="preserve"> </v>
      </c>
      <c r="F34" s="682"/>
      <c r="G34" s="763" t="str">
        <f>IF(K7="[Select Configuration]", " ", IF(K8="[Select Device]", " ", VLOOKUP(K8, Devices[], COLUMN(Devices[Gain Error Max]), 0)))</f>
        <v xml:space="preserve"> </v>
      </c>
      <c r="H34" s="764"/>
      <c r="I34" s="644" t="str">
        <f>IF(OR(K8="[Select Device]", K7="[Select Configuration]")," ", (E34*K32)*1000)</f>
        <v xml:space="preserve"> </v>
      </c>
      <c r="J34" s="644"/>
      <c r="K34" s="730" t="str">
        <f>IF(OR(K8="[Select Device]",K7="[Select Configuration]")," ",(G34*K32)*1000)</f>
        <v xml:space="preserve"> </v>
      </c>
      <c r="L34" s="731"/>
      <c r="M34" s="149"/>
      <c r="N34" s="102"/>
      <c r="O34" s="102"/>
      <c r="P34" s="102"/>
      <c r="Q34" s="102"/>
      <c r="R34" s="102"/>
      <c r="AD34" s="27"/>
      <c r="AE34" s="27"/>
      <c r="AR34" s="25" t="s">
        <v>109</v>
      </c>
      <c r="AS34" s="73">
        <f>$AS$33+$AS$20</f>
        <v>49.995000499950002</v>
      </c>
      <c r="AY34" s="52">
        <v>19.100000000000001</v>
      </c>
      <c r="AZ34" s="19">
        <f>Table3[[#This Row],[R]]*10</f>
        <v>191</v>
      </c>
      <c r="BA34" s="18">
        <f>Table3[[#This Row],[R2]]*10</f>
        <v>1910</v>
      </c>
      <c r="BB34" s="18">
        <f>Table3[[#This Row],[R3]]*10</f>
        <v>19100</v>
      </c>
      <c r="BC34" s="18">
        <f>Table3[[#This Row],[R4]]*10</f>
        <v>191000</v>
      </c>
      <c r="BD34" s="20">
        <f>Table3[[#This Row],[R]]/10</f>
        <v>1.9100000000000001</v>
      </c>
      <c r="BE34" s="20">
        <f>Table3[[#This Row],[R6]]/10</f>
        <v>0.191</v>
      </c>
      <c r="BF34" s="20">
        <f>Table3[[#This Row],[R7]]/10</f>
        <v>1.9099999999999999E-2</v>
      </c>
      <c r="BG34" s="20">
        <f>Table3[[#This Row],[R8]]/10</f>
        <v>1.9099999999999998E-3</v>
      </c>
      <c r="BH34" s="20">
        <f>Table3[[#This Row],[R9]]/10</f>
        <v>1.9099999999999998E-4</v>
      </c>
    </row>
    <row r="35" spans="2:60" ht="15" customHeight="1" thickBot="1">
      <c r="B35" s="706" t="s">
        <v>165</v>
      </c>
      <c r="C35" s="707"/>
      <c r="D35" s="708"/>
      <c r="E35" s="628" t="str">
        <f>IF(OR(K8="[Select Device]", K7="[Select Configuration]"), " ", VLOOKUP(K8, Devices[], COLUMN(Devices[Gain Drift Typ]), 0))</f>
        <v xml:space="preserve"> </v>
      </c>
      <c r="F35" s="628"/>
      <c r="G35" s="693" t="str">
        <f>IF(OR(K8="[Select Device]", K7="[Select Configuration]"), " ", VLOOKUP(K8, Devices[], COLUMN(Devices[Gain Drift Max]), 0))</f>
        <v xml:space="preserve"> </v>
      </c>
      <c r="H35" s="694"/>
      <c r="I35" s="672" t="str">
        <f>IF(OR(K8="[Select Device]", K7="[Select Configuration]"), " ", Temp_Range*E35*10^-6*K32*1000)</f>
        <v xml:space="preserve"> </v>
      </c>
      <c r="J35" s="672"/>
      <c r="K35" s="638" t="str">
        <f>IF(OR(K8="[Select Device]", K7="[Select Configuration]"), " ", Temp_Range*G35*10^-6*K32*1000)</f>
        <v xml:space="preserve"> </v>
      </c>
      <c r="L35" s="639"/>
      <c r="M35" s="134"/>
      <c r="N35" s="102" t="s">
        <v>279</v>
      </c>
      <c r="O35" s="102"/>
      <c r="P35" s="102"/>
      <c r="Q35" s="102"/>
      <c r="R35" s="102"/>
      <c r="AD35" s="27"/>
      <c r="AE35" s="27"/>
      <c r="AR35" s="625" t="s">
        <v>127</v>
      </c>
      <c r="AS35" s="627"/>
      <c r="AY35" s="52">
        <v>19.600000000000001</v>
      </c>
      <c r="AZ35" s="19">
        <f>Table3[[#This Row],[R]]*10</f>
        <v>196</v>
      </c>
      <c r="BA35" s="18">
        <f>Table3[[#This Row],[R2]]*10</f>
        <v>1960</v>
      </c>
      <c r="BB35" s="18">
        <f>Table3[[#This Row],[R3]]*10</f>
        <v>19600</v>
      </c>
      <c r="BC35" s="18">
        <f>Table3[[#This Row],[R4]]*10</f>
        <v>196000</v>
      </c>
      <c r="BD35" s="20">
        <f>Table3[[#This Row],[R]]/10</f>
        <v>1.9600000000000002</v>
      </c>
      <c r="BE35" s="20">
        <f>Table3[[#This Row],[R6]]/10</f>
        <v>0.19600000000000001</v>
      </c>
      <c r="BF35" s="20">
        <f>Table3[[#This Row],[R7]]/10</f>
        <v>1.9599999999999999E-2</v>
      </c>
      <c r="BG35" s="20">
        <f>Table3[[#This Row],[R8]]/10</f>
        <v>1.9599999999999999E-3</v>
      </c>
      <c r="BH35" s="20">
        <f>Table3[[#This Row],[R9]]/10</f>
        <v>1.9599999999999999E-4</v>
      </c>
    </row>
    <row r="36" spans="2:60" ht="15" customHeight="1" thickBot="1">
      <c r="B36" s="706" t="s">
        <v>166</v>
      </c>
      <c r="C36" s="707"/>
      <c r="D36" s="708"/>
      <c r="E36" s="629" t="str">
        <f>IF(OR(K8="[Select Device]", K7="[Select Configuration]"), " ", VLOOKUP(K8, Devices[], COLUMN(Devices[Offset Error Typ]), 0))</f>
        <v xml:space="preserve"> </v>
      </c>
      <c r="F36" s="629"/>
      <c r="G36" s="765" t="str">
        <f>IF(OR(K8="[Select Device]", K7="[Select Configuration]"), " ", VLOOKUP(K8, Devices[], COLUMN(Devices[Offset Error Max]), 0))</f>
        <v xml:space="preserve"> </v>
      </c>
      <c r="H36" s="766"/>
      <c r="I36" s="672" t="str">
        <f>IF(OR(K8="[Select Device]", K7="[Select Configuration]"), " ", E36*VLOOKUP(K8,Devices[],COLUMN(Devices[Gain]),0))</f>
        <v xml:space="preserve"> </v>
      </c>
      <c r="J36" s="672"/>
      <c r="K36" s="638" t="str">
        <f>IF(OR(K8="[Select Device]", K7="[Select Configuration]"), " ", G36*VLOOKUP(K8,Devices[],COLUMN(Devices[Gain]),0))</f>
        <v xml:space="preserve"> </v>
      </c>
      <c r="L36" s="639"/>
      <c r="M36" s="134"/>
      <c r="N36" s="102"/>
      <c r="O36" s="102"/>
      <c r="P36" s="102"/>
      <c r="Q36" s="102"/>
      <c r="R36" s="102"/>
      <c r="U36" s="5"/>
      <c r="V36" s="93"/>
      <c r="AD36" s="27"/>
      <c r="AL36" s="67"/>
      <c r="AM36" s="67"/>
      <c r="AN36" s="67"/>
      <c r="AO36" s="67"/>
      <c r="AR36" s="21" t="s">
        <v>106</v>
      </c>
      <c r="AS36" s="22" t="e">
        <f>1/((1/$AS$19)+(1/($K$13+AP31)))</f>
        <v>#REF!</v>
      </c>
      <c r="AY36" s="52">
        <v>20</v>
      </c>
      <c r="AZ36" s="19">
        <f>Table3[[#This Row],[R]]*10</f>
        <v>200</v>
      </c>
      <c r="BA36" s="18">
        <f>Table3[[#This Row],[R2]]*10</f>
        <v>2000</v>
      </c>
      <c r="BB36" s="18">
        <f>Table3[[#This Row],[R3]]*10</f>
        <v>20000</v>
      </c>
      <c r="BC36" s="18">
        <f>Table3[[#This Row],[R4]]*10</f>
        <v>200000</v>
      </c>
      <c r="BD36" s="20">
        <f>Table3[[#This Row],[R]]/10</f>
        <v>2</v>
      </c>
      <c r="BE36" s="20">
        <f>Table3[[#This Row],[R6]]/10</f>
        <v>0.2</v>
      </c>
      <c r="BF36" s="20">
        <f>Table3[[#This Row],[R7]]/10</f>
        <v>0.02</v>
      </c>
      <c r="BG36" s="20">
        <f>Table3[[#This Row],[R8]]/10</f>
        <v>2E-3</v>
      </c>
      <c r="BH36" s="20">
        <f>Table3[[#This Row],[R9]]/10</f>
        <v>2.0000000000000001E-4</v>
      </c>
    </row>
    <row r="37" spans="2:60" ht="15" customHeight="1" thickBot="1">
      <c r="B37" s="706" t="s">
        <v>167</v>
      </c>
      <c r="C37" s="707"/>
      <c r="D37" s="708"/>
      <c r="E37" s="630" t="str">
        <f>IF(OR(K8="[Select Device]", K7="[Select Configuration]"), " ", VLOOKUP(K8, Devices[], COLUMN(Devices[Offset Drift Typ]), 0))</f>
        <v xml:space="preserve"> </v>
      </c>
      <c r="F37" s="630"/>
      <c r="G37" s="689" t="str">
        <f>IF(OR(K8="[Select Device]", K7="[Select Configuration]"), " ", VLOOKUP(K8, Devices[], COLUMN(Devices[Offset Drift Max]), 0))</f>
        <v xml:space="preserve"> </v>
      </c>
      <c r="H37" s="690"/>
      <c r="I37" s="672" t="str">
        <f>IF(OR(K8="[Select Device]", K7="[Select Configuration]"), " ", Temp_Range*E37*10^-3*VLOOKUP(K8,Devices[],COLUMN(Devices[Gain]),0))</f>
        <v xml:space="preserve"> </v>
      </c>
      <c r="J37" s="672"/>
      <c r="K37" s="638" t="str">
        <f>IF(OR(K8="[Select Device]", K7="[Select Configuration]"), " ", Temp_Range*G37*10^-3*VLOOKUP(K8,Devices[],COLUMN(Devices[Gain]),0))</f>
        <v xml:space="preserve"> </v>
      </c>
      <c r="L37" s="639"/>
      <c r="M37" s="134"/>
      <c r="N37" s="102" t="s">
        <v>279</v>
      </c>
      <c r="O37" s="102"/>
      <c r="P37" s="102"/>
      <c r="Q37" s="102"/>
      <c r="R37" s="102"/>
      <c r="U37" s="4"/>
      <c r="AD37" s="27"/>
      <c r="AE37" s="27"/>
      <c r="AL37" s="67"/>
      <c r="AM37" s="67"/>
      <c r="AN37" s="67"/>
      <c r="AO37" s="67"/>
      <c r="AR37" s="13" t="s">
        <v>108</v>
      </c>
      <c r="AS37" s="14" t="e">
        <f>$K$9*($AS$36)*1000</f>
        <v>#REF!</v>
      </c>
      <c r="AY37" s="52">
        <v>20.5</v>
      </c>
      <c r="AZ37" s="19">
        <f>Table3[[#This Row],[R]]*10</f>
        <v>205</v>
      </c>
      <c r="BA37" s="18">
        <f>Table3[[#This Row],[R2]]*10</f>
        <v>2050</v>
      </c>
      <c r="BB37" s="18">
        <f>Table3[[#This Row],[R3]]*10</f>
        <v>20500</v>
      </c>
      <c r="BC37" s="18">
        <f>Table3[[#This Row],[R4]]*10</f>
        <v>205000</v>
      </c>
      <c r="BD37" s="20">
        <f>Table3[[#This Row],[R]]/10</f>
        <v>2.0499999999999998</v>
      </c>
      <c r="BE37" s="20">
        <f>Table3[[#This Row],[R6]]/10</f>
        <v>0.20499999999999999</v>
      </c>
      <c r="BF37" s="20">
        <f>Table3[[#This Row],[R7]]/10</f>
        <v>2.0499999999999997E-2</v>
      </c>
      <c r="BG37" s="20">
        <f>Table3[[#This Row],[R8]]/10</f>
        <v>2.0499999999999997E-3</v>
      </c>
      <c r="BH37" s="20">
        <f>Table3[[#This Row],[R9]]/10</f>
        <v>2.0499999999999997E-4</v>
      </c>
    </row>
    <row r="38" spans="2:60" ht="15" customHeight="1" thickBot="1">
      <c r="B38" s="706" t="s">
        <v>1</v>
      </c>
      <c r="C38" s="707"/>
      <c r="D38" s="708"/>
      <c r="E38" s="631" t="str">
        <f>IF(OR(K8="[Select Device]", K7="[Select Configuration]"), " ", VLOOKUP(K8, Devices[], COLUMN(Devices[INL Typ]), 0))</f>
        <v xml:space="preserve"> </v>
      </c>
      <c r="F38" s="631"/>
      <c r="G38" s="691" t="str">
        <f>IF(OR(K8="[Select Device]", K7="[Select Configuration]"), " ", VLOOKUP(K8, Devices[], COLUMN(Devices[INL Max]), 0))</f>
        <v xml:space="preserve"> </v>
      </c>
      <c r="H38" s="692"/>
      <c r="I38" s="672" t="str">
        <f>IF(OR(K8="[Select Device]", K7="[Select Configuration]")," ", (E38*K32)*1000)</f>
        <v xml:space="preserve"> </v>
      </c>
      <c r="J38" s="672"/>
      <c r="K38" s="638" t="str">
        <f>IF(OR(K8="[Select Device]", K7="[Select Configuration]")," ",(G38*K32)*1000)</f>
        <v xml:space="preserve"> </v>
      </c>
      <c r="L38" s="639"/>
      <c r="M38" s="134"/>
      <c r="N38" s="102"/>
      <c r="O38" s="102"/>
      <c r="P38" s="102"/>
      <c r="Q38" s="102"/>
      <c r="R38" s="102"/>
      <c r="U38" s="5"/>
      <c r="AD38" s="27"/>
      <c r="AE38" s="27"/>
      <c r="AL38" s="67"/>
      <c r="AM38" s="67"/>
      <c r="AN38" s="67"/>
      <c r="AO38" s="67"/>
      <c r="AR38" s="13" t="s">
        <v>107</v>
      </c>
      <c r="AS38" s="73" t="e">
        <f>AS37</f>
        <v>#REF!</v>
      </c>
      <c r="AY38" s="59">
        <v>21</v>
      </c>
      <c r="AZ38" s="19">
        <f>Table3[[#This Row],[R]]*10</f>
        <v>210</v>
      </c>
      <c r="BA38" s="18">
        <f>Table3[[#This Row],[R2]]*10</f>
        <v>2100</v>
      </c>
      <c r="BB38" s="18">
        <f>Table3[[#This Row],[R3]]*10</f>
        <v>21000</v>
      </c>
      <c r="BC38" s="18">
        <f>Table3[[#This Row],[R4]]*10</f>
        <v>210000</v>
      </c>
      <c r="BD38" s="20">
        <f>Table3[[#This Row],[R]]/10</f>
        <v>2.1</v>
      </c>
      <c r="BE38" s="20">
        <f>Table3[[#This Row],[R6]]/10</f>
        <v>0.21000000000000002</v>
      </c>
      <c r="BF38" s="20">
        <f>Table3[[#This Row],[R7]]/10</f>
        <v>2.1000000000000001E-2</v>
      </c>
      <c r="BG38" s="20">
        <f>Table3[[#This Row],[R8]]/10</f>
        <v>2.1000000000000003E-3</v>
      </c>
      <c r="BH38" s="20">
        <f>Table3[[#This Row],[R9]]/10</f>
        <v>2.1000000000000004E-4</v>
      </c>
    </row>
    <row r="39" spans="2:60" ht="15" customHeight="1" thickBot="1">
      <c r="B39" s="706" t="s">
        <v>2</v>
      </c>
      <c r="C39" s="707"/>
      <c r="D39" s="708"/>
      <c r="E39" s="628" t="str">
        <f>IF(OR(K8="[Select Device]", K7="[Select Configuration]"), " ", VLOOKUP(K8, Devices[], COLUMN(Devices[INL Drift Typ]), 0))</f>
        <v xml:space="preserve"> </v>
      </c>
      <c r="F39" s="628"/>
      <c r="G39" s="693" t="str">
        <f>IF(OR(K8="[Select Device]", K7="[Select Configuration]"), " ", VLOOKUP(K8, Devices[], COLUMN(Devices[INL Drift Max]), 0))</f>
        <v xml:space="preserve"> </v>
      </c>
      <c r="H39" s="694"/>
      <c r="I39" s="672" t="str">
        <f>IF(OR(K8="[Select Device]", K7="[Select Configuration]"), " ", Temp_Range*10^-6*K32*E39*1000)</f>
        <v xml:space="preserve"> </v>
      </c>
      <c r="J39" s="672"/>
      <c r="K39" s="638" t="str">
        <f>IF(OR(K8="[Select Device]", K7="[Select Configuration]"), " ", Temp_Range*10^-6*K32*G39*1000)</f>
        <v xml:space="preserve"> </v>
      </c>
      <c r="L39" s="639"/>
      <c r="M39" s="134"/>
      <c r="N39" s="102" t="s">
        <v>280</v>
      </c>
      <c r="O39" s="102"/>
      <c r="P39" s="102"/>
      <c r="Q39" s="102"/>
      <c r="R39" s="102"/>
      <c r="AD39" s="27"/>
      <c r="AE39" s="27"/>
      <c r="AF39" s="11"/>
      <c r="AR39" s="25" t="s">
        <v>109</v>
      </c>
      <c r="AS39" s="73" t="e">
        <f>$AS$38+$AS$20</f>
        <v>#REF!</v>
      </c>
      <c r="AY39" s="54">
        <v>21.5</v>
      </c>
      <c r="AZ39" s="19">
        <f>Table3[[#This Row],[R]]*10</f>
        <v>215</v>
      </c>
      <c r="BA39" s="18">
        <f>Table3[[#This Row],[R2]]*10</f>
        <v>2150</v>
      </c>
      <c r="BB39" s="18">
        <f>Table3[[#This Row],[R3]]*10</f>
        <v>21500</v>
      </c>
      <c r="BC39" s="18">
        <f>Table3[[#This Row],[R4]]*10</f>
        <v>215000</v>
      </c>
      <c r="BD39" s="20">
        <f>Table3[[#This Row],[R]]/10</f>
        <v>2.15</v>
      </c>
      <c r="BE39" s="20">
        <f>Table3[[#This Row],[R6]]/10</f>
        <v>0.215</v>
      </c>
      <c r="BF39" s="20">
        <f>Table3[[#This Row],[R7]]/10</f>
        <v>2.1499999999999998E-2</v>
      </c>
      <c r="BG39" s="20">
        <f>Table3[[#This Row],[R8]]/10</f>
        <v>2.15E-3</v>
      </c>
      <c r="BH39" s="20">
        <f>Table3[[#This Row],[R9]]/10</f>
        <v>2.1499999999999999E-4</v>
      </c>
    </row>
    <row r="40" spans="2:60" ht="15" customHeight="1" thickBot="1">
      <c r="B40" s="649" t="s">
        <v>168</v>
      </c>
      <c r="C40" s="650"/>
      <c r="D40" s="651"/>
      <c r="E40" s="652" t="s">
        <v>102</v>
      </c>
      <c r="F40" s="652"/>
      <c r="G40" s="701" t="s">
        <v>102</v>
      </c>
      <c r="H40" s="702"/>
      <c r="I40" s="777" t="str">
        <f>IF(OR(K8="[Select Device]",K7="[Select Configuration]")," ",I36*E34*VLOOKUP(K8,Devices[],COLUMN(Devices[Gain]),0)+I37*E34*VLOOKUP(K8,Devices[],COLUMN(Devices[Gain]),0))</f>
        <v xml:space="preserve"> </v>
      </c>
      <c r="J40" s="777"/>
      <c r="K40" s="767" t="str">
        <f>IF(OR(K8="[Select Device]", K7="[Select Configuration]"), " ", K36*G34*VLOOKUP(K8,Devices[],COLUMN(Devices[Gain]),0)+K37*G34*VLOOKUP(K8,Devices[],COLUMN(Devices[Gain]),0))</f>
        <v xml:space="preserve"> </v>
      </c>
      <c r="L40" s="768"/>
      <c r="M40" s="150"/>
      <c r="N40" s="103" t="s">
        <v>103</v>
      </c>
      <c r="O40" s="103"/>
      <c r="P40" s="103"/>
      <c r="Q40" s="103"/>
      <c r="R40" s="103"/>
      <c r="AD40" s="27"/>
      <c r="AE40" s="27"/>
      <c r="AF40" s="11"/>
      <c r="AR40" s="625" t="s">
        <v>128</v>
      </c>
      <c r="AS40" s="627"/>
      <c r="AY40" s="52">
        <v>22.1</v>
      </c>
      <c r="AZ40" s="19">
        <f>Table3[[#This Row],[R]]*10</f>
        <v>221</v>
      </c>
      <c r="BA40" s="18">
        <f>Table3[[#This Row],[R2]]*10</f>
        <v>2210</v>
      </c>
      <c r="BB40" s="18">
        <f>Table3[[#This Row],[R3]]*10</f>
        <v>22100</v>
      </c>
      <c r="BC40" s="18">
        <f>Table3[[#This Row],[R4]]*10</f>
        <v>221000</v>
      </c>
      <c r="BD40" s="20">
        <f>Table3[[#This Row],[R]]/10</f>
        <v>2.21</v>
      </c>
      <c r="BE40" s="20">
        <f>Table3[[#This Row],[R6]]/10</f>
        <v>0.221</v>
      </c>
      <c r="BF40" s="20">
        <f>Table3[[#This Row],[R7]]/10</f>
        <v>2.2100000000000002E-2</v>
      </c>
      <c r="BG40" s="20">
        <f>Table3[[#This Row],[R8]]/10</f>
        <v>2.2100000000000002E-3</v>
      </c>
      <c r="BH40" s="20">
        <f>Table3[[#This Row],[R9]]/10</f>
        <v>2.2100000000000001E-4</v>
      </c>
    </row>
    <row r="41" spans="2:60" ht="20" customHeight="1" thickBot="1">
      <c r="B41" s="695" t="s">
        <v>19</v>
      </c>
      <c r="C41" s="696"/>
      <c r="D41" s="696"/>
      <c r="E41" s="653" t="s">
        <v>272</v>
      </c>
      <c r="F41" s="697"/>
      <c r="G41" s="653" t="s">
        <v>300</v>
      </c>
      <c r="H41" s="654"/>
      <c r="I41" s="697" t="s">
        <v>265</v>
      </c>
      <c r="J41" s="697"/>
      <c r="K41" s="653" t="s">
        <v>269</v>
      </c>
      <c r="L41" s="654"/>
      <c r="M41" s="151"/>
      <c r="N41" s="104"/>
      <c r="O41" s="104"/>
      <c r="P41" s="104"/>
      <c r="Q41" s="104"/>
      <c r="R41" s="104"/>
      <c r="AD41" s="27"/>
      <c r="AE41" s="27"/>
      <c r="AF41" s="11"/>
      <c r="AR41" s="21" t="s">
        <v>106</v>
      </c>
      <c r="AS41" s="22" t="e">
        <f>1/((1/$AS$19)+(1/($K$13+AP30)))</f>
        <v>#REF!</v>
      </c>
      <c r="AY41" s="52">
        <v>22.6</v>
      </c>
      <c r="AZ41" s="19">
        <f>Table3[[#This Row],[R]]*10</f>
        <v>226</v>
      </c>
      <c r="BA41" s="18">
        <f>Table3[[#This Row],[R2]]*10</f>
        <v>2260</v>
      </c>
      <c r="BB41" s="18">
        <f>Table3[[#This Row],[R3]]*10</f>
        <v>22600</v>
      </c>
      <c r="BC41" s="18">
        <f>Table3[[#This Row],[R4]]*10</f>
        <v>226000</v>
      </c>
      <c r="BD41" s="20">
        <f>Table3[[#This Row],[R]]/10</f>
        <v>2.2600000000000002</v>
      </c>
      <c r="BE41" s="20">
        <f>Table3[[#This Row],[R6]]/10</f>
        <v>0.22600000000000003</v>
      </c>
      <c r="BF41" s="20">
        <f>Table3[[#This Row],[R7]]/10</f>
        <v>2.2600000000000002E-2</v>
      </c>
      <c r="BG41" s="20">
        <f>Table3[[#This Row],[R8]]/10</f>
        <v>2.2600000000000003E-3</v>
      </c>
      <c r="BH41" s="20">
        <f>Table3[[#This Row],[R9]]/10</f>
        <v>2.2600000000000002E-4</v>
      </c>
    </row>
    <row r="42" spans="2:60" ht="15" customHeight="1" thickBot="1">
      <c r="B42" s="160" t="s">
        <v>268</v>
      </c>
      <c r="C42" s="161"/>
      <c r="D42" s="162"/>
      <c r="E42" s="698" t="str">
        <f>IF(OR(K7="[Select Configuration]", K8="[Select Device]", K8=" "), " ", I42/1000/($K$32))</f>
        <v xml:space="preserve"> </v>
      </c>
      <c r="F42" s="698"/>
      <c r="G42" s="771" t="str">
        <f>IF(OR($K$7="[Select Configuration]", $K$8="[Select Device]", $K$8=" "), " ",K42/1000/($K$32))</f>
        <v xml:space="preserve"> </v>
      </c>
      <c r="H42" s="772"/>
      <c r="I42" s="775" t="str">
        <f>IF(OR(K7="[Select Configuration]", K8="[Select Device]", K8=" "), " ",(SQRT(SUMSQ(I34:I40))))</f>
        <v xml:space="preserve"> </v>
      </c>
      <c r="J42" s="775"/>
      <c r="K42" s="769" t="str">
        <f>IF(OR(K7="[Select Configuration]", K8="[Select Device]", K8=" "), " ",(SQRT(SUMSQ(K34:L40))))</f>
        <v xml:space="preserve"> </v>
      </c>
      <c r="L42" s="770"/>
      <c r="M42" s="134"/>
      <c r="N42" s="102" t="s">
        <v>98</v>
      </c>
      <c r="O42" s="102"/>
      <c r="P42" s="102"/>
      <c r="Q42" s="105"/>
      <c r="R42" s="105"/>
      <c r="AD42" s="27"/>
      <c r="AE42" s="27"/>
      <c r="AR42" s="13" t="s">
        <v>108</v>
      </c>
      <c r="AS42" s="14" t="e">
        <f>$K$9*($AS$41)*1000</f>
        <v>#REF!</v>
      </c>
      <c r="AY42" s="52">
        <v>23.2</v>
      </c>
      <c r="AZ42" s="19">
        <f>Table3[[#This Row],[R]]*10</f>
        <v>232</v>
      </c>
      <c r="BA42" s="18">
        <f>Table3[[#This Row],[R2]]*10</f>
        <v>2320</v>
      </c>
      <c r="BB42" s="18">
        <f>Table3[[#This Row],[R3]]*10</f>
        <v>23200</v>
      </c>
      <c r="BC42" s="18">
        <f>Table3[[#This Row],[R4]]*10</f>
        <v>232000</v>
      </c>
      <c r="BD42" s="20">
        <f>Table3[[#This Row],[R]]/10</f>
        <v>2.3199999999999998</v>
      </c>
      <c r="BE42" s="20">
        <f>Table3[[#This Row],[R6]]/10</f>
        <v>0.23199999999999998</v>
      </c>
      <c r="BF42" s="20">
        <f>Table3[[#This Row],[R7]]/10</f>
        <v>2.3199999999999998E-2</v>
      </c>
      <c r="BG42" s="20">
        <f>Table3[[#This Row],[R8]]/10</f>
        <v>2.32E-3</v>
      </c>
      <c r="BH42" s="20">
        <f>Table3[[#This Row],[R9]]/10</f>
        <v>2.32E-4</v>
      </c>
    </row>
    <row r="43" spans="2:60" ht="15" customHeight="1" thickBot="1">
      <c r="B43" s="157" t="s">
        <v>338</v>
      </c>
      <c r="C43" s="158"/>
      <c r="D43" s="159"/>
      <c r="E43" s="699" t="str">
        <f>IF(OR(K7="[Select Configuration]", K8="[Select Device]", K9=" "), " ", I43/1000/($K$32))</f>
        <v xml:space="preserve"> </v>
      </c>
      <c r="F43" s="699"/>
      <c r="G43" s="685" t="str">
        <f>IF(OR($K$7="[Select Configuration]", $K$8="[Select Device]", $K$8=" "), " ",K43/1000/($K$32))</f>
        <v xml:space="preserve"> </v>
      </c>
      <c r="H43" s="686"/>
      <c r="I43" s="776" t="str">
        <f>IF(OR(K7="[Select Configuration]", K8="[Select Device]", K8=" "), " ",SQRT(SUMSQ(I34,I35,I37,I38,I39)))</f>
        <v xml:space="preserve"> </v>
      </c>
      <c r="J43" s="776"/>
      <c r="K43" s="773" t="str">
        <f>IF(OR(K7="[Select Configuration]",K8="[Select Device]",K8=" ")," ",SQRT(SUMSQ(K34,K35,K37,K38,K39)))</f>
        <v xml:space="preserve"> </v>
      </c>
      <c r="L43" s="774"/>
      <c r="M43" s="134"/>
      <c r="N43" s="106" t="s">
        <v>175</v>
      </c>
      <c r="O43" s="106"/>
      <c r="P43" s="106"/>
      <c r="Q43" s="107"/>
      <c r="R43" s="107"/>
      <c r="AD43" s="27"/>
      <c r="AE43" s="27"/>
      <c r="AR43" s="13" t="s">
        <v>107</v>
      </c>
      <c r="AS43" s="73" t="e">
        <f>AS42</f>
        <v>#REF!</v>
      </c>
      <c r="AY43" s="52">
        <v>23.7</v>
      </c>
      <c r="AZ43" s="19">
        <f>Table3[[#This Row],[R]]*10</f>
        <v>237</v>
      </c>
      <c r="BA43" s="18">
        <f>Table3[[#This Row],[R2]]*10</f>
        <v>2370</v>
      </c>
      <c r="BB43" s="18">
        <f>Table3[[#This Row],[R3]]*10</f>
        <v>23700</v>
      </c>
      <c r="BC43" s="18">
        <f>Table3[[#This Row],[R4]]*10</f>
        <v>237000</v>
      </c>
      <c r="BD43" s="20">
        <f>Table3[[#This Row],[R]]/10</f>
        <v>2.37</v>
      </c>
      <c r="BE43" s="20">
        <f>Table3[[#This Row],[R6]]/10</f>
        <v>0.23700000000000002</v>
      </c>
      <c r="BF43" s="20">
        <f>Table3[[#This Row],[R7]]/10</f>
        <v>2.3700000000000002E-2</v>
      </c>
      <c r="BG43" s="20">
        <f>Table3[[#This Row],[R8]]/10</f>
        <v>2.3700000000000001E-3</v>
      </c>
      <c r="BH43" s="20">
        <f>Table3[[#This Row],[R9]]/10</f>
        <v>2.3700000000000001E-4</v>
      </c>
    </row>
    <row r="44" spans="2:60" ht="15" customHeight="1" thickBot="1">
      <c r="B44" s="157" t="s">
        <v>270</v>
      </c>
      <c r="C44" s="158"/>
      <c r="D44" s="159"/>
      <c r="E44" s="699" t="str">
        <f>IF(OR(K7="[Select Configuration]", K8="[Select Device]", AO36=" "), " ", I44/1000/($K$32))</f>
        <v xml:space="preserve"> </v>
      </c>
      <c r="F44" s="699"/>
      <c r="G44" s="685" t="str">
        <f>IF(OR($K$7="[Select Configuration]", $K$8="[Select Device]", $K$8=" "), " ",K44/1000/($K$32))</f>
        <v xml:space="preserve"> </v>
      </c>
      <c r="H44" s="686"/>
      <c r="I44" s="776" t="str">
        <f>IF(OR(K7="[Select Configuration]", K8="[Select Device]", K8=" "), " ",SQRT(SUMSQ(I35,I37,I38,I39)))</f>
        <v xml:space="preserve"> </v>
      </c>
      <c r="J44" s="776"/>
      <c r="K44" s="773" t="str">
        <f>IF(OR(K7="[Select Configuration]", K8="[Select Device]", K8=" "), " ",SQRT(SUMSQ(K35,K37,K38,K39)))</f>
        <v xml:space="preserve"> </v>
      </c>
      <c r="L44" s="774"/>
      <c r="M44" s="134"/>
      <c r="N44" s="110"/>
      <c r="O44" s="110"/>
      <c r="P44" s="110"/>
      <c r="Q44" s="110"/>
      <c r="R44" s="3"/>
      <c r="AD44" s="27"/>
      <c r="AE44" s="27"/>
      <c r="AR44" s="25" t="s">
        <v>109</v>
      </c>
      <c r="AS44" s="75" t="e">
        <f>$AS$43+$AS$20</f>
        <v>#REF!</v>
      </c>
      <c r="AY44" s="52">
        <v>24.3</v>
      </c>
      <c r="AZ44" s="19">
        <f>Table3[[#This Row],[R]]*10</f>
        <v>243</v>
      </c>
      <c r="BA44" s="18">
        <f>Table3[[#This Row],[R2]]*10</f>
        <v>2430</v>
      </c>
      <c r="BB44" s="18">
        <f>Table3[[#This Row],[R3]]*10</f>
        <v>24300</v>
      </c>
      <c r="BC44" s="18">
        <f>Table3[[#This Row],[R4]]*10</f>
        <v>243000</v>
      </c>
      <c r="BD44" s="20">
        <f>Table3[[#This Row],[R]]/10</f>
        <v>2.4300000000000002</v>
      </c>
      <c r="BE44" s="20">
        <f>Table3[[#This Row],[R6]]/10</f>
        <v>0.24300000000000002</v>
      </c>
      <c r="BF44" s="20">
        <f>Table3[[#This Row],[R7]]/10</f>
        <v>2.4300000000000002E-2</v>
      </c>
      <c r="BG44" s="20">
        <f>Table3[[#This Row],[R8]]/10</f>
        <v>2.4300000000000003E-3</v>
      </c>
      <c r="BH44" s="20">
        <f>Table3[[#This Row],[R9]]/10</f>
        <v>2.4300000000000002E-4</v>
      </c>
    </row>
    <row r="45" spans="2:60" ht="15" customHeight="1" thickBot="1">
      <c r="B45" s="163" t="s">
        <v>339</v>
      </c>
      <c r="C45" s="117"/>
      <c r="D45" s="164"/>
      <c r="E45" s="700" t="str">
        <f>IF(OR(K7="[Select Configuration]", K8="[Select Device]", AO37=" "), " ", I45/1000/($K$32))</f>
        <v xml:space="preserve"> </v>
      </c>
      <c r="F45" s="700"/>
      <c r="G45" s="687" t="str">
        <f>IF(OR($K$7="[Select Configuration]", $K$8="[Select Device]", $K$8=" "), " ",K45/1000/($K$32))</f>
        <v xml:space="preserve"> </v>
      </c>
      <c r="H45" s="688"/>
      <c r="I45" s="845" t="str">
        <f>IF(OR(K7="[Select Configuration]", K8="[Select Device]", K8=" "), " ",SQRT(SUMSQ(I39,I38)))</f>
        <v xml:space="preserve"> </v>
      </c>
      <c r="J45" s="845"/>
      <c r="K45" s="782" t="str">
        <f>IF(OR(K7="[Select Configuration]", K8="[Select Device]", K8=" "), " ",SQRT(SUMSQ(K39,K38)))</f>
        <v xml:space="preserve"> </v>
      </c>
      <c r="L45" s="783"/>
      <c r="M45" s="134"/>
      <c r="N45" s="110"/>
      <c r="O45" s="110"/>
      <c r="P45" s="110"/>
      <c r="Q45" s="110"/>
      <c r="R45" s="3"/>
      <c r="AD45" s="27"/>
      <c r="AE45" s="27"/>
      <c r="AY45" s="52">
        <v>24.9</v>
      </c>
      <c r="AZ45" s="19">
        <f>Table3[[#This Row],[R]]*10</f>
        <v>249</v>
      </c>
      <c r="BA45" s="18">
        <f>Table3[[#This Row],[R2]]*10</f>
        <v>2490</v>
      </c>
      <c r="BB45" s="18">
        <f>Table3[[#This Row],[R3]]*10</f>
        <v>24900</v>
      </c>
      <c r="BC45" s="18">
        <f>Table3[[#This Row],[R4]]*10</f>
        <v>249000</v>
      </c>
      <c r="BD45" s="20">
        <f>Table3[[#This Row],[R]]/10</f>
        <v>2.4899999999999998</v>
      </c>
      <c r="BE45" s="20">
        <f>Table3[[#This Row],[R6]]/10</f>
        <v>0.24899999999999997</v>
      </c>
      <c r="BF45" s="20">
        <f>Table3[[#This Row],[R7]]/10</f>
        <v>2.4899999999999999E-2</v>
      </c>
      <c r="BG45" s="20">
        <f>Table3[[#This Row],[R8]]/10</f>
        <v>2.49E-3</v>
      </c>
      <c r="BH45" s="20">
        <f>Table3[[#This Row],[R9]]/10</f>
        <v>2.4899999999999998E-4</v>
      </c>
    </row>
    <row r="46" spans="2:60" s="113" customFormat="1" ht="15" customHeight="1">
      <c r="C46" s="105"/>
      <c r="D46" s="105"/>
      <c r="E46" s="105"/>
      <c r="F46" s="118"/>
      <c r="G46" s="118"/>
      <c r="H46" s="118"/>
      <c r="I46" s="119"/>
      <c r="J46" s="632" t="str">
        <f>IF(IF(K7="[Select Configuration]", "Differential", IF(K8="[Select Device]", "Differential", VLOOKUP(K8, Devices[], COLUMN(Devices[Output Type]), 0)))="Differential", "", "This device has single-ended or ratiometric output. Set values listed in left column")</f>
        <v/>
      </c>
      <c r="K46" s="632"/>
      <c r="L46" s="632"/>
      <c r="M46" s="134"/>
      <c r="N46" s="110"/>
      <c r="O46" s="110"/>
      <c r="P46" s="110"/>
      <c r="Q46" s="110"/>
      <c r="R46" s="3"/>
      <c r="AY46" s="114"/>
      <c r="AZ46" s="115">
        <f>Table3[[#This Row],[R]]*10</f>
        <v>0</v>
      </c>
      <c r="BA46" s="116">
        <f>Table3[[#This Row],[R2]]*10</f>
        <v>0</v>
      </c>
      <c r="BB46" s="116">
        <f>Table3[[#This Row],[R3]]*10</f>
        <v>0</v>
      </c>
      <c r="BC46" s="116">
        <f>Table3[[#This Row],[R]]/10</f>
        <v>0</v>
      </c>
      <c r="BD46" s="116">
        <f>Table3[[#This Row],[R5]]/10</f>
        <v>0</v>
      </c>
      <c r="BE46" s="116">
        <f>Table3[[#This Row],[R6]]/10</f>
        <v>0</v>
      </c>
      <c r="BF46" s="116">
        <f>Table3[[#This Row],[R7]]/10</f>
        <v>0</v>
      </c>
      <c r="BG46" s="116">
        <f>Table3[[#This Row],[R8]]/10</f>
        <v>0</v>
      </c>
      <c r="BH46" s="116">
        <f>Table3[[#This Row],[R9]]/10</f>
        <v>0</v>
      </c>
    </row>
    <row r="47" spans="2:60" s="123" customFormat="1" ht="15" customHeight="1" thickBot="1">
      <c r="C47" s="105"/>
      <c r="D47" s="105"/>
      <c r="E47" s="105"/>
      <c r="F47" s="118"/>
      <c r="G47" s="118"/>
      <c r="H47" s="118"/>
      <c r="I47" s="119"/>
      <c r="J47" s="633"/>
      <c r="K47" s="633"/>
      <c r="L47" s="633"/>
      <c r="M47" s="134"/>
      <c r="N47" s="110"/>
      <c r="O47" s="110"/>
      <c r="P47" s="110"/>
      <c r="Q47" s="110"/>
      <c r="R47" s="3"/>
      <c r="AY47" s="114"/>
      <c r="AZ47" s="115">
        <f>Table3[[#This Row],[R]]*10</f>
        <v>0</v>
      </c>
      <c r="BA47" s="116">
        <f>Table3[[#This Row],[R2]]*10</f>
        <v>0</v>
      </c>
      <c r="BB47" s="116">
        <f>Table3[[#This Row],[R3]]*10</f>
        <v>0</v>
      </c>
      <c r="BC47" s="116">
        <f>Table3[[#This Row],[R]]/10</f>
        <v>0</v>
      </c>
      <c r="BD47" s="116">
        <f>Table3[[#This Row],[R5]]/10</f>
        <v>0</v>
      </c>
      <c r="BE47" s="116">
        <f>Table3[[#This Row],[R6]]/10</f>
        <v>0</v>
      </c>
      <c r="BF47" s="116">
        <f>Table3[[#This Row],[R7]]/10</f>
        <v>0</v>
      </c>
      <c r="BG47" s="116">
        <f>Table3[[#This Row],[R8]]/10</f>
        <v>0</v>
      </c>
      <c r="BH47" s="116">
        <f>Table3[[#This Row],[R9]]/10</f>
        <v>0</v>
      </c>
    </row>
    <row r="48" spans="2:60" s="113" customFormat="1" ht="26" customHeight="1" thickBot="1">
      <c r="B48" s="97"/>
      <c r="C48" s="97"/>
      <c r="D48" s="97"/>
      <c r="E48" s="97"/>
      <c r="F48" s="97"/>
      <c r="G48" s="97"/>
      <c r="H48" s="97"/>
      <c r="I48" s="3"/>
      <c r="J48" s="846" t="s">
        <v>305</v>
      </c>
      <c r="K48" s="847"/>
      <c r="L48" s="848"/>
      <c r="N48" s="882" t="s">
        <v>380</v>
      </c>
      <c r="O48" s="883"/>
      <c r="P48" s="165"/>
      <c r="Q48" s="165"/>
      <c r="R48" s="3"/>
      <c r="S48" s="3"/>
      <c r="AY48" s="114"/>
      <c r="AZ48" s="115">
        <f>Table3[[#This Row],[R]]*10</f>
        <v>0</v>
      </c>
      <c r="BA48" s="116">
        <f>Table3[[#This Row],[R2]]*10</f>
        <v>0</v>
      </c>
      <c r="BB48" s="116">
        <f>Table3[[#This Row],[R3]]*10</f>
        <v>0</v>
      </c>
      <c r="BC48" s="116">
        <f>Table3[[#This Row],[R]]/10</f>
        <v>0</v>
      </c>
      <c r="BD48" s="116">
        <f>Table3[[#This Row],[R5]]/10</f>
        <v>0</v>
      </c>
      <c r="BE48" s="116">
        <f>Table3[[#This Row],[R6]]/10</f>
        <v>0</v>
      </c>
      <c r="BF48" s="116">
        <f>Table3[[#This Row],[R7]]/10</f>
        <v>0</v>
      </c>
      <c r="BG48" s="116">
        <f>Table3[[#This Row],[R8]]/10</f>
        <v>0</v>
      </c>
      <c r="BH48" s="116">
        <f>Table3[[#This Row],[R9]]/10</f>
        <v>0</v>
      </c>
    </row>
    <row r="49" spans="2:60" s="113" customFormat="1" ht="13.05" customHeight="1">
      <c r="B49" s="97"/>
      <c r="C49" s="97"/>
      <c r="D49" s="97"/>
      <c r="E49" s="97"/>
      <c r="F49" s="97"/>
      <c r="G49" s="97"/>
      <c r="H49" s="97"/>
      <c r="I49" s="3"/>
      <c r="J49" s="784" t="s">
        <v>399</v>
      </c>
      <c r="K49" s="785"/>
      <c r="L49" s="788" t="str">
        <f>IF(OR(K8="[Select Device]", K7="[Select Configuration]")," ",(L53+(ABS(2.5-(5*10*(1+(L57)/100))/(10*(1+(L57)/100)+10*(1-(L57)/100)))*1000)))</f>
        <v xml:space="preserve"> </v>
      </c>
      <c r="N49" s="884" t="s">
        <v>381</v>
      </c>
      <c r="O49" s="886" t="str">
        <f>E79</f>
        <v xml:space="preserve"> </v>
      </c>
      <c r="R49" s="3"/>
      <c r="S49" s="3"/>
      <c r="AY49" s="114"/>
      <c r="AZ49" s="115">
        <f>Table3[[#This Row],[R]]*10</f>
        <v>0</v>
      </c>
      <c r="BA49" s="116">
        <f>Table3[[#This Row],[R2]]*10</f>
        <v>0</v>
      </c>
      <c r="BB49" s="116">
        <f>Table3[[#This Row],[R3]]*10</f>
        <v>0</v>
      </c>
      <c r="BC49" s="116">
        <f>Table3[[#This Row],[R]]/10</f>
        <v>0</v>
      </c>
      <c r="BD49" s="116">
        <f>Table3[[#This Row],[R5]]/10</f>
        <v>0</v>
      </c>
      <c r="BE49" s="116">
        <f>Table3[[#This Row],[R6]]/10</f>
        <v>0</v>
      </c>
      <c r="BF49" s="116">
        <f>Table3[[#This Row],[R7]]/10</f>
        <v>0</v>
      </c>
      <c r="BG49" s="116">
        <f>Table3[[#This Row],[R8]]/10</f>
        <v>0</v>
      </c>
      <c r="BH49" s="116">
        <f>Table3[[#This Row],[R9]]/10</f>
        <v>0</v>
      </c>
    </row>
    <row r="50" spans="2:60" s="113" customFormat="1" ht="13.05" customHeight="1">
      <c r="B50" s="97"/>
      <c r="C50" s="97"/>
      <c r="D50" s="97"/>
      <c r="E50" s="97"/>
      <c r="F50" s="97"/>
      <c r="G50" s="97"/>
      <c r="H50" s="97"/>
      <c r="I50" s="3"/>
      <c r="J50" s="784"/>
      <c r="K50" s="785"/>
      <c r="L50" s="789"/>
      <c r="N50" s="885"/>
      <c r="O50" s="887"/>
      <c r="R50" s="3"/>
      <c r="S50" s="3"/>
      <c r="AY50" s="114"/>
      <c r="AZ50" s="115">
        <f>Table3[[#This Row],[R]]*10</f>
        <v>0</v>
      </c>
      <c r="BA50" s="116">
        <f>Table3[[#This Row],[R2]]*10</f>
        <v>0</v>
      </c>
      <c r="BB50" s="116">
        <f>Table3[[#This Row],[R3]]*10</f>
        <v>0</v>
      </c>
      <c r="BC50" s="116">
        <f>Table3[[#This Row],[R]]/10</f>
        <v>0</v>
      </c>
      <c r="BD50" s="116">
        <f>Table3[[#This Row],[R5]]/10</f>
        <v>0</v>
      </c>
      <c r="BE50" s="116">
        <f>Table3[[#This Row],[R6]]/10</f>
        <v>0</v>
      </c>
      <c r="BF50" s="116">
        <f>Table3[[#This Row],[R7]]/10</f>
        <v>0</v>
      </c>
      <c r="BG50" s="116">
        <f>Table3[[#This Row],[R8]]/10</f>
        <v>0</v>
      </c>
      <c r="BH50" s="116">
        <f>Table3[[#This Row],[R9]]/10</f>
        <v>0</v>
      </c>
    </row>
    <row r="51" spans="2:60" s="113" customFormat="1" ht="13.05" customHeight="1">
      <c r="B51" s="97"/>
      <c r="C51" s="97"/>
      <c r="D51" s="97"/>
      <c r="E51" s="97"/>
      <c r="F51" s="97"/>
      <c r="G51" s="97"/>
      <c r="H51" s="97"/>
      <c r="I51" s="3"/>
      <c r="J51" s="784" t="s">
        <v>398</v>
      </c>
      <c r="K51" s="785"/>
      <c r="L51" s="790" t="str">
        <f>IF(OR(K8="[Select Device]", K7="[Select Configuration]")," ", (L55*Temp_Range/1000+(ABS(2.5-(5*10*(1+(L59*Temp_Range/1000000)/100))/(10*(1+(L59*Temp_Range/1000000)/100)+10*(1-(L59*Temp_Range/1000000)/100)))*1000)))</f>
        <v xml:space="preserve"> </v>
      </c>
      <c r="N51" s="878" t="s">
        <v>386</v>
      </c>
      <c r="O51" s="888" t="str">
        <f>F79</f>
        <v xml:space="preserve"> </v>
      </c>
      <c r="R51" s="3"/>
      <c r="S51" s="3"/>
      <c r="AY51" s="114"/>
      <c r="AZ51" s="115">
        <f>Table3[[#This Row],[R]]*10</f>
        <v>0</v>
      </c>
      <c r="BA51" s="116">
        <f>Table3[[#This Row],[R2]]*10</f>
        <v>0</v>
      </c>
      <c r="BB51" s="116">
        <f>Table3[[#This Row],[R3]]*10</f>
        <v>0</v>
      </c>
      <c r="BC51" s="116">
        <f>Table3[[#This Row],[R]]/10</f>
        <v>0</v>
      </c>
      <c r="BD51" s="116">
        <f>Table3[[#This Row],[R5]]/10</f>
        <v>0</v>
      </c>
      <c r="BE51" s="116">
        <f>Table3[[#This Row],[R6]]/10</f>
        <v>0</v>
      </c>
      <c r="BF51" s="116">
        <f>Table3[[#This Row],[R7]]/10</f>
        <v>0</v>
      </c>
      <c r="BG51" s="116">
        <f>Table3[[#This Row],[R8]]/10</f>
        <v>0</v>
      </c>
      <c r="BH51" s="116">
        <f>Table3[[#This Row],[R9]]/10</f>
        <v>0</v>
      </c>
    </row>
    <row r="52" spans="2:60" s="113" customFormat="1" ht="13.05" customHeight="1">
      <c r="B52" s="97"/>
      <c r="C52" s="97"/>
      <c r="D52" s="97"/>
      <c r="E52" s="97"/>
      <c r="F52" s="97"/>
      <c r="G52" s="97"/>
      <c r="H52" s="97"/>
      <c r="I52" s="3"/>
      <c r="J52" s="786"/>
      <c r="K52" s="787"/>
      <c r="L52" s="791"/>
      <c r="N52" s="885"/>
      <c r="O52" s="889"/>
      <c r="R52" s="3"/>
      <c r="S52" s="3"/>
      <c r="AY52" s="114"/>
      <c r="AZ52" s="115">
        <f>Table3[[#This Row],[R]]*10</f>
        <v>0</v>
      </c>
      <c r="BA52" s="116">
        <f>Table3[[#This Row],[R2]]*10</f>
        <v>0</v>
      </c>
      <c r="BB52" s="116">
        <f>Table3[[#This Row],[R3]]*10</f>
        <v>0</v>
      </c>
      <c r="BC52" s="116">
        <f>Table3[[#This Row],[R]]/10</f>
        <v>0</v>
      </c>
      <c r="BD52" s="116">
        <f>Table3[[#This Row],[R5]]/10</f>
        <v>0</v>
      </c>
      <c r="BE52" s="116">
        <f>Table3[[#This Row],[R6]]/10</f>
        <v>0</v>
      </c>
      <c r="BF52" s="116">
        <f>Table3[[#This Row],[R7]]/10</f>
        <v>0</v>
      </c>
      <c r="BG52" s="116">
        <f>Table3[[#This Row],[R8]]/10</f>
        <v>0</v>
      </c>
      <c r="BH52" s="116">
        <f>Table3[[#This Row],[R9]]/10</f>
        <v>0</v>
      </c>
    </row>
    <row r="53" spans="2:60" s="113" customFormat="1" ht="13.05" customHeight="1">
      <c r="B53" s="97"/>
      <c r="C53" s="97"/>
      <c r="D53" s="97"/>
      <c r="E53" s="97"/>
      <c r="F53" s="97"/>
      <c r="G53" s="97"/>
      <c r="H53" s="97"/>
      <c r="I53" s="3"/>
      <c r="J53" s="794" t="str">
        <f>IF(IF(K7="[Select Configuration]", "Differential", IF(K8="[Select Device]", "Differential", VLOOKUP(K8, Devices[], COLUMN(Devices[Output Type]), 0)))="Differential", "OPA Input Offset", "OPA Input Offset =  0")</f>
        <v>OPA Input Offset</v>
      </c>
      <c r="K53" s="795"/>
      <c r="L53" s="796">
        <v>0.4</v>
      </c>
      <c r="N53" s="878" t="s">
        <v>382</v>
      </c>
      <c r="O53" s="890" t="str">
        <f>H79</f>
        <v xml:space="preserve"> </v>
      </c>
      <c r="R53" s="3"/>
      <c r="S53" s="3"/>
      <c r="AY53" s="114"/>
      <c r="AZ53" s="115">
        <f>Table3[[#This Row],[R]]*10</f>
        <v>0</v>
      </c>
      <c r="BA53" s="116">
        <f>Table3[[#This Row],[R2]]*10</f>
        <v>0</v>
      </c>
      <c r="BB53" s="116">
        <f>Table3[[#This Row],[R3]]*10</f>
        <v>0</v>
      </c>
      <c r="BC53" s="116">
        <f>Table3[[#This Row],[R]]/10</f>
        <v>0</v>
      </c>
      <c r="BD53" s="116">
        <f>Table3[[#This Row],[R5]]/10</f>
        <v>0</v>
      </c>
      <c r="BE53" s="116">
        <f>Table3[[#This Row],[R6]]/10</f>
        <v>0</v>
      </c>
      <c r="BF53" s="116">
        <f>Table3[[#This Row],[R7]]/10</f>
        <v>0</v>
      </c>
      <c r="BG53" s="116">
        <f>Table3[[#This Row],[R8]]/10</f>
        <v>0</v>
      </c>
      <c r="BH53" s="116">
        <f>Table3[[#This Row],[R9]]/10</f>
        <v>0</v>
      </c>
    </row>
    <row r="54" spans="2:60" s="113" customFormat="1" ht="13.05" customHeight="1">
      <c r="B54" s="97"/>
      <c r="C54" s="97"/>
      <c r="D54" s="97"/>
      <c r="E54" s="97"/>
      <c r="F54" s="97"/>
      <c r="G54" s="97"/>
      <c r="H54" s="97"/>
      <c r="I54" s="3"/>
      <c r="J54" s="794"/>
      <c r="K54" s="795"/>
      <c r="L54" s="796"/>
      <c r="N54" s="885"/>
      <c r="O54" s="891"/>
      <c r="R54" s="3"/>
      <c r="S54" s="3"/>
      <c r="AY54" s="114"/>
      <c r="AZ54" s="115">
        <f>Table3[[#This Row],[R]]*10</f>
        <v>0</v>
      </c>
      <c r="BA54" s="116">
        <f>Table3[[#This Row],[R2]]*10</f>
        <v>0</v>
      </c>
      <c r="BB54" s="116">
        <f>Table3[[#This Row],[R3]]*10</f>
        <v>0</v>
      </c>
      <c r="BC54" s="116">
        <f>Table3[[#This Row],[R]]/10</f>
        <v>0</v>
      </c>
      <c r="BD54" s="116">
        <f>Table3[[#This Row],[R5]]/10</f>
        <v>0</v>
      </c>
      <c r="BE54" s="116">
        <f>Table3[[#This Row],[R6]]/10</f>
        <v>0</v>
      </c>
      <c r="BF54" s="116">
        <f>Table3[[#This Row],[R7]]/10</f>
        <v>0</v>
      </c>
      <c r="BG54" s="116">
        <f>Table3[[#This Row],[R8]]/10</f>
        <v>0</v>
      </c>
      <c r="BH54" s="116">
        <f>Table3[[#This Row],[R9]]/10</f>
        <v>0</v>
      </c>
    </row>
    <row r="55" spans="2:60" s="113" customFormat="1" ht="13.05" customHeight="1">
      <c r="B55" s="97"/>
      <c r="C55" s="97"/>
      <c r="D55" s="97"/>
      <c r="E55" s="97"/>
      <c r="F55" s="97"/>
      <c r="G55" s="97"/>
      <c r="H55" s="97"/>
      <c r="I55" s="3"/>
      <c r="J55" s="794" t="str">
        <f>IF(IF(K7="[Select Configuration]", "Differential", IF(K8="[Select Device]", "Differential", VLOOKUP(K8, Devices[], COLUMN(Devices[Output Type]), 0)))="Differential", "OPA Offset Drift", "OPA Offset Drift = 0")</f>
        <v>OPA Offset Drift</v>
      </c>
      <c r="K55" s="795"/>
      <c r="L55" s="797">
        <v>0.6</v>
      </c>
      <c r="N55" s="878" t="s">
        <v>385</v>
      </c>
      <c r="O55" s="892" t="str">
        <f>E82</f>
        <v xml:space="preserve"> </v>
      </c>
      <c r="R55" s="3"/>
      <c r="S55" s="3"/>
      <c r="AY55" s="114"/>
      <c r="AZ55" s="115">
        <f>Table3[[#This Row],[R]]*10</f>
        <v>0</v>
      </c>
      <c r="BA55" s="116">
        <f>Table3[[#This Row],[R2]]*10</f>
        <v>0</v>
      </c>
      <c r="BB55" s="116">
        <f>Table3[[#This Row],[R3]]*10</f>
        <v>0</v>
      </c>
      <c r="BC55" s="116">
        <f>Table3[[#This Row],[R]]/10</f>
        <v>0</v>
      </c>
      <c r="BD55" s="116">
        <f>Table3[[#This Row],[R5]]/10</f>
        <v>0</v>
      </c>
      <c r="BE55" s="116">
        <f>Table3[[#This Row],[R6]]/10</f>
        <v>0</v>
      </c>
      <c r="BF55" s="116">
        <f>Table3[[#This Row],[R7]]/10</f>
        <v>0</v>
      </c>
      <c r="BG55" s="116">
        <f>Table3[[#This Row],[R8]]/10</f>
        <v>0</v>
      </c>
      <c r="BH55" s="116">
        <f>Table3[[#This Row],[R9]]/10</f>
        <v>0</v>
      </c>
    </row>
    <row r="56" spans="2:60" s="123" customFormat="1" ht="13.05" customHeight="1">
      <c r="B56" s="97"/>
      <c r="C56" s="97"/>
      <c r="D56" s="97"/>
      <c r="E56" s="97"/>
      <c r="F56" s="97"/>
      <c r="G56" s="97"/>
      <c r="H56" s="97"/>
      <c r="I56" s="96"/>
      <c r="J56" s="794"/>
      <c r="K56" s="795"/>
      <c r="L56" s="797"/>
      <c r="M56" s="1"/>
      <c r="N56" s="885"/>
      <c r="O56" s="887"/>
      <c r="R56" s="3"/>
      <c r="S56" s="3"/>
      <c r="AY56" s="114"/>
      <c r="AZ56" s="115">
        <f>Table3[[#This Row],[R]]*10</f>
        <v>0</v>
      </c>
      <c r="BA56" s="116">
        <f>Table3[[#This Row],[R2]]*10</f>
        <v>0</v>
      </c>
      <c r="BB56" s="116">
        <f>Table3[[#This Row],[R3]]*10</f>
        <v>0</v>
      </c>
      <c r="BC56" s="116">
        <f>Table3[[#This Row],[R]]/10</f>
        <v>0</v>
      </c>
      <c r="BD56" s="116">
        <f>Table3[[#This Row],[R5]]/10</f>
        <v>0</v>
      </c>
      <c r="BE56" s="116">
        <f>Table3[[#This Row],[R6]]/10</f>
        <v>0</v>
      </c>
      <c r="BF56" s="116">
        <f>Table3[[#This Row],[R7]]/10</f>
        <v>0</v>
      </c>
      <c r="BG56" s="116">
        <f>Table3[[#This Row],[R8]]/10</f>
        <v>0</v>
      </c>
      <c r="BH56" s="116">
        <f>Table3[[#This Row],[R9]]/10</f>
        <v>0</v>
      </c>
    </row>
    <row r="57" spans="2:60" s="123" customFormat="1" ht="13.05" customHeight="1">
      <c r="B57" s="97"/>
      <c r="C57" s="97"/>
      <c r="D57" s="97"/>
      <c r="E57" s="97"/>
      <c r="F57" s="97"/>
      <c r="G57" s="97"/>
      <c r="H57" s="97"/>
      <c r="I57" s="96"/>
      <c r="J57" s="798" t="str">
        <f>IF(IF(K7="[Select Configuration]", "Differential", IF(K8="[Select Device]", "Differential", VLOOKUP(K8, Devices[], COLUMN(Devices[Output Type]), 0)))="Differential", "OPA Rf/Rg Tolerance", "OPA Rf/Rg Tolerance = 0")</f>
        <v>OPA Rf/Rg Tolerance</v>
      </c>
      <c r="K57" s="799"/>
      <c r="L57" s="800">
        <v>0.1</v>
      </c>
      <c r="M57" s="152"/>
      <c r="N57" s="878" t="s">
        <v>383</v>
      </c>
      <c r="O57" s="893" t="str">
        <f>F82</f>
        <v xml:space="preserve"> </v>
      </c>
      <c r="R57" s="3"/>
      <c r="S57" s="3"/>
      <c r="AY57" s="114"/>
      <c r="AZ57" s="115">
        <f>Table3[[#This Row],[R]]*10</f>
        <v>0</v>
      </c>
      <c r="BA57" s="116">
        <f>Table3[[#This Row],[R2]]*10</f>
        <v>0</v>
      </c>
      <c r="BB57" s="116">
        <f>Table3[[#This Row],[R3]]*10</f>
        <v>0</v>
      </c>
      <c r="BC57" s="116">
        <f>Table3[[#This Row],[R]]/10</f>
        <v>0</v>
      </c>
      <c r="BD57" s="116">
        <f>Table3[[#This Row],[R5]]/10</f>
        <v>0</v>
      </c>
      <c r="BE57" s="116">
        <f>Table3[[#This Row],[R6]]/10</f>
        <v>0</v>
      </c>
      <c r="BF57" s="116">
        <f>Table3[[#This Row],[R7]]/10</f>
        <v>0</v>
      </c>
      <c r="BG57" s="116">
        <f>Table3[[#This Row],[R8]]/10</f>
        <v>0</v>
      </c>
      <c r="BH57" s="116">
        <f>Table3[[#This Row],[R9]]/10</f>
        <v>0</v>
      </c>
    </row>
    <row r="58" spans="2:60" s="123" customFormat="1" ht="13.05" customHeight="1">
      <c r="B58" s="97"/>
      <c r="C58" s="97"/>
      <c r="D58" s="97"/>
      <c r="E58" s="97"/>
      <c r="F58" s="97"/>
      <c r="G58" s="97"/>
      <c r="H58" s="97"/>
      <c r="I58" s="96"/>
      <c r="J58" s="798"/>
      <c r="K58" s="799"/>
      <c r="L58" s="800"/>
      <c r="M58" s="152"/>
      <c r="N58" s="885"/>
      <c r="O58" s="894"/>
      <c r="R58" s="3"/>
      <c r="S58" s="3"/>
      <c r="AY58" s="114"/>
      <c r="AZ58" s="115">
        <f>Table3[[#This Row],[R]]*10</f>
        <v>0</v>
      </c>
      <c r="BA58" s="116">
        <f>Table3[[#This Row],[R2]]*10</f>
        <v>0</v>
      </c>
      <c r="BB58" s="116">
        <f>Table3[[#This Row],[R3]]*10</f>
        <v>0</v>
      </c>
      <c r="BC58" s="116">
        <f>Table3[[#This Row],[R]]/10</f>
        <v>0</v>
      </c>
      <c r="BD58" s="116">
        <f>Table3[[#This Row],[R5]]/10</f>
        <v>0</v>
      </c>
      <c r="BE58" s="116">
        <f>Table3[[#This Row],[R6]]/10</f>
        <v>0</v>
      </c>
      <c r="BF58" s="116">
        <f>Table3[[#This Row],[R7]]/10</f>
        <v>0</v>
      </c>
      <c r="BG58" s="116">
        <f>Table3[[#This Row],[R8]]/10</f>
        <v>0</v>
      </c>
      <c r="BH58" s="116">
        <f>Table3[[#This Row],[R9]]/10</f>
        <v>0</v>
      </c>
    </row>
    <row r="59" spans="2:60" s="217" customFormat="1" ht="13.05" customHeight="1">
      <c r="B59" s="97"/>
      <c r="C59" s="97"/>
      <c r="D59" s="97"/>
      <c r="E59" s="97"/>
      <c r="F59" s="97"/>
      <c r="G59" s="97"/>
      <c r="H59" s="97"/>
      <c r="I59" s="96"/>
      <c r="J59" s="798" t="str">
        <f>IF(IF(K7="[Select Configuration]", "Differential", IF(K8="[Select Device]", "Differential", VLOOKUP(K8, Devices[], COLUMN(Devices[Output Type]), 0)))="Differential", "OPA Rf/Rg Drift", "OPA Rf/Rg Drift = 0")</f>
        <v>OPA Rf/Rg Drift</v>
      </c>
      <c r="K59" s="801"/>
      <c r="L59" s="802">
        <v>50</v>
      </c>
      <c r="M59" s="152"/>
      <c r="N59" s="878" t="s">
        <v>384</v>
      </c>
      <c r="O59" s="880" t="str">
        <f>H82</f>
        <v xml:space="preserve"> </v>
      </c>
      <c r="R59" s="3"/>
      <c r="S59" s="3"/>
      <c r="AY59" s="153"/>
      <c r="AZ59" s="131">
        <f>Table3[[#This Row],[R]]*10</f>
        <v>0</v>
      </c>
      <c r="BA59" s="20">
        <f>Table3[[#This Row],[R2]]*10</f>
        <v>0</v>
      </c>
      <c r="BB59" s="20">
        <f>Table3[[#This Row],[R3]]*10</f>
        <v>0</v>
      </c>
      <c r="BC59" s="20">
        <f>Table3[[#This Row],[R]]/10</f>
        <v>0</v>
      </c>
      <c r="BD59" s="20">
        <f>Table3[[#This Row],[R5]]/10</f>
        <v>0</v>
      </c>
      <c r="BE59" s="20">
        <f>Table3[[#This Row],[R6]]/10</f>
        <v>0</v>
      </c>
      <c r="BF59" s="20">
        <f>Table3[[#This Row],[R7]]/10</f>
        <v>0</v>
      </c>
      <c r="BG59" s="20">
        <f>Table3[[#This Row],[R8]]/10</f>
        <v>0</v>
      </c>
      <c r="BH59" s="20">
        <f>Table3[[#This Row],[R9]]/10</f>
        <v>0</v>
      </c>
    </row>
    <row r="60" spans="2:60" s="217" customFormat="1" ht="13.05" customHeight="1" thickBot="1">
      <c r="B60" s="97"/>
      <c r="C60" s="97"/>
      <c r="D60" s="97"/>
      <c r="E60" s="97"/>
      <c r="F60" s="97"/>
      <c r="G60" s="97"/>
      <c r="H60" s="97"/>
      <c r="I60" s="96"/>
      <c r="J60" s="798"/>
      <c r="K60" s="801"/>
      <c r="L60" s="802"/>
      <c r="M60" s="152"/>
      <c r="N60" s="879"/>
      <c r="O60" s="881"/>
      <c r="R60" s="3"/>
      <c r="S60" s="3"/>
      <c r="AY60" s="153"/>
      <c r="AZ60" s="131">
        <f>Table3[[#This Row],[R]]*10</f>
        <v>0</v>
      </c>
      <c r="BA60" s="20">
        <f>Table3[[#This Row],[R2]]*10</f>
        <v>0</v>
      </c>
      <c r="BB60" s="20">
        <f>Table3[[#This Row],[R3]]*10</f>
        <v>0</v>
      </c>
      <c r="BC60" s="20">
        <f>Table3[[#This Row],[R]]/10</f>
        <v>0</v>
      </c>
      <c r="BD60" s="20">
        <f>Table3[[#This Row],[R5]]/10</f>
        <v>0</v>
      </c>
      <c r="BE60" s="20">
        <f>Table3[[#This Row],[R6]]/10</f>
        <v>0</v>
      </c>
      <c r="BF60" s="20">
        <f>Table3[[#This Row],[R7]]/10</f>
        <v>0</v>
      </c>
      <c r="BG60" s="20">
        <f>Table3[[#This Row],[R8]]/10</f>
        <v>0</v>
      </c>
      <c r="BH60" s="20">
        <f>Table3[[#This Row],[R9]]/10</f>
        <v>0</v>
      </c>
    </row>
    <row r="61" spans="2:60" s="123" customFormat="1" ht="13.05" customHeight="1">
      <c r="B61" s="97"/>
      <c r="C61" s="97"/>
      <c r="D61" s="97"/>
      <c r="E61" s="97"/>
      <c r="F61" s="97"/>
      <c r="G61" s="97"/>
      <c r="H61" s="97"/>
      <c r="I61" s="96"/>
      <c r="J61" s="794" t="str">
        <f>IF(IF(K7="[Select Configuration]", "Differential", IF(K8="[Select Device]", "Differential", VLOOKUP(K8, Devices[], COLUMN(Devices[Output Type]), 0)))="Differential", "Rf", "Rf = 1")</f>
        <v>Rf</v>
      </c>
      <c r="K61" s="795"/>
      <c r="L61" s="805">
        <v>4.0999999999999996</v>
      </c>
      <c r="M61" s="152"/>
      <c r="R61" s="3"/>
      <c r="S61" s="3"/>
      <c r="AY61" s="114"/>
      <c r="AZ61" s="115">
        <f>Table3[[#This Row],[R]]*10</f>
        <v>0</v>
      </c>
      <c r="BA61" s="116">
        <f>Table3[[#This Row],[R2]]*10</f>
        <v>0</v>
      </c>
      <c r="BB61" s="116">
        <f>Table3[[#This Row],[R3]]*10</f>
        <v>0</v>
      </c>
      <c r="BC61" s="116">
        <f>Table3[[#This Row],[R]]/10</f>
        <v>0</v>
      </c>
      <c r="BD61" s="116">
        <f>Table3[[#This Row],[R5]]/10</f>
        <v>0</v>
      </c>
      <c r="BE61" s="116">
        <f>Table3[[#This Row],[R6]]/10</f>
        <v>0</v>
      </c>
      <c r="BF61" s="116">
        <f>Table3[[#This Row],[R7]]/10</f>
        <v>0</v>
      </c>
      <c r="BG61" s="116">
        <f>Table3[[#This Row],[R8]]/10</f>
        <v>0</v>
      </c>
      <c r="BH61" s="116">
        <f>Table3[[#This Row],[R9]]/10</f>
        <v>0</v>
      </c>
    </row>
    <row r="62" spans="2:60" s="123" customFormat="1" ht="13.05" customHeight="1">
      <c r="B62" s="97"/>
      <c r="C62" s="97"/>
      <c r="D62" s="97"/>
      <c r="E62" s="97"/>
      <c r="F62" s="97"/>
      <c r="G62" s="97"/>
      <c r="H62" s="97"/>
      <c r="I62" s="96"/>
      <c r="J62" s="794"/>
      <c r="K62" s="795"/>
      <c r="L62" s="805"/>
      <c r="M62" s="152"/>
      <c r="AY62" s="114"/>
      <c r="AZ62" s="115">
        <f>Table3[[#This Row],[R]]*10</f>
        <v>0</v>
      </c>
      <c r="BA62" s="116">
        <f>Table3[[#This Row],[R2]]*10</f>
        <v>0</v>
      </c>
      <c r="BB62" s="116">
        <f>Table3[[#This Row],[R3]]*10</f>
        <v>0</v>
      </c>
      <c r="BC62" s="116">
        <f>Table3[[#This Row],[R]]/10</f>
        <v>0</v>
      </c>
      <c r="BD62" s="116">
        <f>Table3[[#This Row],[R5]]/10</f>
        <v>0</v>
      </c>
      <c r="BE62" s="116">
        <f>Table3[[#This Row],[R6]]/10</f>
        <v>0</v>
      </c>
      <c r="BF62" s="116">
        <f>Table3[[#This Row],[R7]]/10</f>
        <v>0</v>
      </c>
      <c r="BG62" s="116">
        <f>Table3[[#This Row],[R8]]/10</f>
        <v>0</v>
      </c>
      <c r="BH62" s="116">
        <f>Table3[[#This Row],[R9]]/10</f>
        <v>0</v>
      </c>
    </row>
    <row r="63" spans="2:60" s="167" customFormat="1" ht="13.05" customHeight="1">
      <c r="B63" s="97"/>
      <c r="C63" s="97"/>
      <c r="D63" s="97"/>
      <c r="E63" s="97"/>
      <c r="F63" s="97"/>
      <c r="G63" s="97"/>
      <c r="H63" s="97"/>
      <c r="I63" s="96"/>
      <c r="J63" s="794" t="str">
        <f>IF(IF(K7="[Select Configuration]", "Differential", IF(K8="[Select Device]", "Differential", VLOOKUP(K8, Devices[], COLUMN(Devices[Output Type]), 0)))="Differential", "Rg", "Rg = 1")</f>
        <v>Rg</v>
      </c>
      <c r="K63" s="872"/>
      <c r="L63" s="805">
        <v>3.3</v>
      </c>
      <c r="M63" s="152"/>
      <c r="AY63" s="153"/>
      <c r="AZ63" s="131">
        <f>Table3[[#This Row],[R]]*10</f>
        <v>0</v>
      </c>
      <c r="BA63" s="20">
        <f>Table3[[#This Row],[R2]]*10</f>
        <v>0</v>
      </c>
      <c r="BB63" s="20">
        <f>Table3[[#This Row],[R3]]*10</f>
        <v>0</v>
      </c>
      <c r="BC63" s="20">
        <f>Table3[[#This Row],[R]]/10</f>
        <v>0</v>
      </c>
      <c r="BD63" s="20">
        <f>Table3[[#This Row],[R5]]/10</f>
        <v>0</v>
      </c>
      <c r="BE63" s="20">
        <f>Table3[[#This Row],[R6]]/10</f>
        <v>0</v>
      </c>
      <c r="BF63" s="20">
        <f>Table3[[#This Row],[R7]]/10</f>
        <v>0</v>
      </c>
      <c r="BG63" s="20">
        <f>Table3[[#This Row],[R8]]/10</f>
        <v>0</v>
      </c>
      <c r="BH63" s="20">
        <f>Table3[[#This Row],[R9]]/10</f>
        <v>0</v>
      </c>
    </row>
    <row r="64" spans="2:60" s="113" customFormat="1" ht="13.05" customHeight="1" thickBot="1">
      <c r="B64" s="97"/>
      <c r="C64" s="97"/>
      <c r="D64" s="97"/>
      <c r="E64" s="97"/>
      <c r="F64" s="97"/>
      <c r="G64" s="97"/>
      <c r="H64" s="97"/>
      <c r="I64" s="3"/>
      <c r="J64" s="873"/>
      <c r="K64" s="874"/>
      <c r="L64" s="875"/>
      <c r="M64" s="1"/>
      <c r="AY64" s="114"/>
      <c r="AZ64" s="115">
        <f>Table3[[#This Row],[R]]*10</f>
        <v>0</v>
      </c>
      <c r="BA64" s="116">
        <f>Table3[[#This Row],[R2]]*10</f>
        <v>0</v>
      </c>
      <c r="BB64" s="116">
        <f>Table3[[#This Row],[R3]]*10</f>
        <v>0</v>
      </c>
      <c r="BC64" s="116">
        <f>Table3[[#This Row],[R]]/10</f>
        <v>0</v>
      </c>
      <c r="BD64" s="116">
        <f>Table3[[#This Row],[R5]]/10</f>
        <v>0</v>
      </c>
      <c r="BE64" s="116">
        <f>Table3[[#This Row],[R6]]/10</f>
        <v>0</v>
      </c>
      <c r="BF64" s="116">
        <f>Table3[[#This Row],[R7]]/10</f>
        <v>0</v>
      </c>
      <c r="BG64" s="116">
        <f>Table3[[#This Row],[R8]]/10</f>
        <v>0</v>
      </c>
      <c r="BH64" s="116">
        <f>Table3[[#This Row],[R9]]/10</f>
        <v>0</v>
      </c>
    </row>
    <row r="65" spans="2:60" s="130" customFormat="1" ht="19.05" customHeight="1" thickBot="1">
      <c r="B65" s="97"/>
      <c r="C65" s="97"/>
      <c r="D65" s="97"/>
      <c r="E65" s="97"/>
      <c r="F65" s="97"/>
      <c r="G65" s="97"/>
      <c r="H65" s="97"/>
      <c r="J65" s="156"/>
      <c r="K65" s="156"/>
      <c r="L65" s="152"/>
      <c r="M65" s="1"/>
      <c r="AY65" s="153"/>
      <c r="AZ65" s="131">
        <f>Table3[[#This Row],[R]]*10</f>
        <v>0</v>
      </c>
      <c r="BA65" s="20">
        <f>Table3[[#This Row],[R2]]*10</f>
        <v>0</v>
      </c>
      <c r="BB65" s="20">
        <f>Table3[[#This Row],[R3]]*10</f>
        <v>0</v>
      </c>
      <c r="BC65" s="20">
        <f>Table3[[#This Row],[R]]/10</f>
        <v>0</v>
      </c>
      <c r="BD65" s="20">
        <f>Table3[[#This Row],[R5]]/10</f>
        <v>0</v>
      </c>
      <c r="BE65" s="20">
        <f>Table3[[#This Row],[R6]]/10</f>
        <v>0</v>
      </c>
      <c r="BF65" s="20">
        <f>Table3[[#This Row],[R7]]/10</f>
        <v>0</v>
      </c>
      <c r="BG65" s="20">
        <f>Table3[[#This Row],[R8]]/10</f>
        <v>0</v>
      </c>
      <c r="BH65" s="20">
        <f>Table3[[#This Row],[R9]]/10</f>
        <v>0</v>
      </c>
    </row>
    <row r="66" spans="2:60" ht="15" customHeight="1" thickBot="1">
      <c r="B66" s="831" t="str">
        <f xml:space="preserve"> "Shunt + Isolated Amplifier + Differential to Single-Ended Conversion Error Calculation Across Temperature ("&amp;K11&amp;"°C to +"&amp;K12&amp;"°C)"</f>
        <v>Shunt + Isolated Amplifier + Differential to Single-Ended Conversion Error Calculation Across Temperature (-40°C to +125°C)</v>
      </c>
      <c r="C66" s="832"/>
      <c r="D66" s="832"/>
      <c r="E66" s="832"/>
      <c r="F66" s="832"/>
      <c r="G66" s="832"/>
      <c r="H66" s="832"/>
      <c r="I66" s="832"/>
      <c r="J66" s="832"/>
      <c r="K66" s="832"/>
      <c r="L66" s="833"/>
      <c r="M66" s="95"/>
      <c r="N66" s="95"/>
      <c r="O66" s="95"/>
      <c r="R66" s="95"/>
      <c r="S66" s="95"/>
      <c r="AD66" s="27"/>
      <c r="AE66" s="27"/>
      <c r="AY66" s="54">
        <v>26.1</v>
      </c>
      <c r="AZ66" s="19">
        <f>Table3[[#This Row],[R]]*10</f>
        <v>261</v>
      </c>
      <c r="BA66" s="18">
        <f>Table3[[#This Row],[R2]]*10</f>
        <v>2610</v>
      </c>
      <c r="BB66" s="18">
        <f>Table3[[#This Row],[R3]]*10</f>
        <v>26100</v>
      </c>
      <c r="BC66" s="18">
        <f>Table3[[#This Row],[R4]]*10</f>
        <v>261000</v>
      </c>
      <c r="BD66" s="20">
        <f>Table3[[#This Row],[R]]/10</f>
        <v>2.6100000000000003</v>
      </c>
      <c r="BE66" s="20">
        <f>Table3[[#This Row],[R6]]/10</f>
        <v>0.26100000000000001</v>
      </c>
      <c r="BF66" s="20">
        <f>Table3[[#This Row],[R7]]/10</f>
        <v>2.6100000000000002E-2</v>
      </c>
      <c r="BG66" s="20">
        <f>Table3[[#This Row],[R8]]/10</f>
        <v>2.6100000000000003E-3</v>
      </c>
      <c r="BH66" s="20">
        <f>Table3[[#This Row],[R9]]/10</f>
        <v>2.6100000000000006E-4</v>
      </c>
    </row>
    <row r="67" spans="2:60" ht="15" customHeight="1" thickBot="1">
      <c r="B67" s="834"/>
      <c r="C67" s="835"/>
      <c r="D67" s="835"/>
      <c r="E67" s="835"/>
      <c r="F67" s="835"/>
      <c r="G67" s="835"/>
      <c r="H67" s="835"/>
      <c r="I67" s="835"/>
      <c r="J67" s="835"/>
      <c r="K67" s="835"/>
      <c r="L67" s="836"/>
      <c r="M67" s="95"/>
      <c r="N67" s="95"/>
      <c r="O67" s="95"/>
      <c r="P67" s="95"/>
      <c r="Q67" s="95"/>
      <c r="R67" s="95"/>
      <c r="S67" s="95"/>
      <c r="AD67" s="27"/>
      <c r="AE67" s="27"/>
      <c r="AY67" s="52">
        <v>26.7</v>
      </c>
      <c r="AZ67" s="19">
        <f>Table3[[#This Row],[R]]*10</f>
        <v>267</v>
      </c>
      <c r="BA67" s="18">
        <f>Table3[[#This Row],[R2]]*10</f>
        <v>2670</v>
      </c>
      <c r="BB67" s="18">
        <f>Table3[[#This Row],[R3]]*10</f>
        <v>26700</v>
      </c>
      <c r="BC67" s="18">
        <f>Table3[[#This Row],[R4]]*10</f>
        <v>267000</v>
      </c>
      <c r="BD67" s="20">
        <f>Table3[[#This Row],[R]]/10</f>
        <v>2.67</v>
      </c>
      <c r="BE67" s="20">
        <f>Table3[[#This Row],[R6]]/10</f>
        <v>0.26700000000000002</v>
      </c>
      <c r="BF67" s="20">
        <f>Table3[[#This Row],[R7]]/10</f>
        <v>2.6700000000000002E-2</v>
      </c>
      <c r="BG67" s="20">
        <f>Table3[[#This Row],[R8]]/10</f>
        <v>2.6700000000000001E-3</v>
      </c>
      <c r="BH67" s="20">
        <f>Table3[[#This Row],[R9]]/10</f>
        <v>2.6699999999999998E-4</v>
      </c>
    </row>
    <row r="68" spans="2:60" s="113" customFormat="1" ht="15" customHeight="1" thickBot="1">
      <c r="B68" s="849">
        <v>1</v>
      </c>
      <c r="C68" s="850"/>
      <c r="D68" s="849">
        <v>2</v>
      </c>
      <c r="E68" s="851"/>
      <c r="F68" s="849">
        <v>3</v>
      </c>
      <c r="G68" s="850"/>
      <c r="H68" s="850"/>
      <c r="I68" s="851"/>
      <c r="J68" s="839" t="s">
        <v>290</v>
      </c>
      <c r="K68" s="839"/>
      <c r="L68" s="840"/>
      <c r="O68" s="124"/>
      <c r="P68" s="120"/>
      <c r="Q68" s="98"/>
      <c r="R68" s="98"/>
      <c r="Y68" s="10"/>
      <c r="AY68" s="114"/>
      <c r="AZ68" s="115">
        <f>Table3[[#This Row],[R]]*10</f>
        <v>0</v>
      </c>
      <c r="BA68" s="116">
        <f>Table3[[#This Row],[R2]]*10</f>
        <v>0</v>
      </c>
      <c r="BB68" s="116">
        <f>Table3[[#This Row],[R3]]*10</f>
        <v>0</v>
      </c>
      <c r="BC68" s="116">
        <f>Table3[[#This Row],[R]]/10</f>
        <v>0</v>
      </c>
      <c r="BD68" s="116">
        <f>Table3[[#This Row],[R5]]/10</f>
        <v>0</v>
      </c>
      <c r="BE68" s="116">
        <f>Table3[[#This Row],[R6]]/10</f>
        <v>0</v>
      </c>
      <c r="BF68" s="116">
        <f>Table3[[#This Row],[R7]]/10</f>
        <v>0</v>
      </c>
      <c r="BG68" s="116">
        <f>Table3[[#This Row],[R8]]/10</f>
        <v>0</v>
      </c>
      <c r="BH68" s="116">
        <f>Table3[[#This Row],[R9]]/10</f>
        <v>0</v>
      </c>
    </row>
    <row r="69" spans="2:60" ht="10.050000000000001" customHeight="1" thickBot="1">
      <c r="B69" s="852" t="s">
        <v>302</v>
      </c>
      <c r="C69" s="762"/>
      <c r="D69" s="852" t="s">
        <v>301</v>
      </c>
      <c r="E69" s="729"/>
      <c r="F69" s="852" t="s">
        <v>291</v>
      </c>
      <c r="G69" s="762"/>
      <c r="H69" s="762"/>
      <c r="I69" s="729"/>
      <c r="J69" s="841" t="s">
        <v>388</v>
      </c>
      <c r="K69" s="841"/>
      <c r="L69" s="842"/>
      <c r="O69" s="125"/>
      <c r="P69" s="121"/>
      <c r="Q69" s="98"/>
      <c r="R69" s="98"/>
      <c r="AD69" s="27"/>
      <c r="AE69" s="27"/>
      <c r="AY69" s="52">
        <v>27.4</v>
      </c>
      <c r="AZ69" s="19">
        <f>Table3[[#This Row],[R]]*10</f>
        <v>274</v>
      </c>
      <c r="BA69" s="18">
        <f>Table3[[#This Row],[R2]]*10</f>
        <v>2740</v>
      </c>
      <c r="BB69" s="18">
        <f>Table3[[#This Row],[R3]]*10</f>
        <v>27400</v>
      </c>
      <c r="BC69" s="18">
        <f>Table3[[#This Row],[R4]]*10</f>
        <v>274000</v>
      </c>
      <c r="BD69" s="20">
        <f>Table3[[#This Row],[R]]/10</f>
        <v>2.7399999999999998</v>
      </c>
      <c r="BE69" s="20">
        <f>Table3[[#This Row],[R6]]/10</f>
        <v>0.27399999999999997</v>
      </c>
      <c r="BF69" s="20">
        <f>Table3[[#This Row],[R7]]/10</f>
        <v>2.7399999999999997E-2</v>
      </c>
      <c r="BG69" s="20">
        <f>Table3[[#This Row],[R8]]/10</f>
        <v>2.7399999999999998E-3</v>
      </c>
      <c r="BH69" s="20">
        <f>Table3[[#This Row],[R9]]/10</f>
        <v>2.7399999999999999E-4</v>
      </c>
    </row>
    <row r="70" spans="2:60" ht="10.050000000000001" customHeight="1" thickBot="1">
      <c r="B70" s="856"/>
      <c r="C70" s="857"/>
      <c r="D70" s="853"/>
      <c r="E70" s="855"/>
      <c r="F70" s="853"/>
      <c r="G70" s="854"/>
      <c r="H70" s="854"/>
      <c r="I70" s="855"/>
      <c r="J70" s="697"/>
      <c r="K70" s="697"/>
      <c r="L70" s="843"/>
      <c r="O70" s="125"/>
      <c r="R70" s="98"/>
      <c r="Y70" s="10"/>
      <c r="AY70" s="52">
        <v>28</v>
      </c>
      <c r="AZ70" s="19">
        <f>Table3[[#This Row],[R]]*10</f>
        <v>280</v>
      </c>
      <c r="BA70" s="18">
        <f>Table3[[#This Row],[R2]]*10</f>
        <v>2800</v>
      </c>
      <c r="BB70" s="18">
        <f>Table3[[#This Row],[R3]]*10</f>
        <v>28000</v>
      </c>
      <c r="BC70" s="18">
        <f>Table3[[#This Row],[R4]]*10</f>
        <v>280000</v>
      </c>
      <c r="BD70" s="20">
        <f>Table3[[#This Row],[R]]/10</f>
        <v>2.8</v>
      </c>
      <c r="BE70" s="20">
        <f>Table3[[#This Row],[R6]]/10</f>
        <v>0.27999999999999997</v>
      </c>
      <c r="BF70" s="20">
        <f>Table3[[#This Row],[R7]]/10</f>
        <v>2.7999999999999997E-2</v>
      </c>
      <c r="BG70" s="20">
        <f>Table3[[#This Row],[R8]]/10</f>
        <v>2.7999999999999995E-3</v>
      </c>
      <c r="BH70" s="20">
        <f>Table3[[#This Row],[R9]]/10</f>
        <v>2.7999999999999998E-4</v>
      </c>
    </row>
    <row r="71" spans="2:60" ht="15" customHeight="1" thickBot="1">
      <c r="B71" s="185" t="s">
        <v>164</v>
      </c>
      <c r="C71" s="186" t="str">
        <f>IF(OR(K8="[Select Device]", K7="[Select Configuration]")," ",(K34/$K$32)*1000)</f>
        <v xml:space="preserve"> </v>
      </c>
      <c r="D71" s="869" t="s">
        <v>281</v>
      </c>
      <c r="E71" s="168">
        <v>1</v>
      </c>
      <c r="F71" s="818" t="s">
        <v>97</v>
      </c>
      <c r="G71" s="819"/>
      <c r="H71" s="820" t="str">
        <f>IF(OR(K8="[Select Device]", K7="[Select Configuration]"), " ",$L$61/$L$63)</f>
        <v xml:space="preserve"> </v>
      </c>
      <c r="I71" s="821"/>
      <c r="J71" s="844" t="s">
        <v>164</v>
      </c>
      <c r="K71" s="819"/>
      <c r="L71" s="187" t="str">
        <f>IF(OR(K8="[Select Device]", K7="[Select Configuration]")," ",SQRT(SUMSQ($C$71, $E$72, $H$74)))</f>
        <v xml:space="preserve"> </v>
      </c>
      <c r="O71" s="126"/>
      <c r="R71" s="98"/>
      <c r="Y71" s="10"/>
      <c r="AY71" s="52">
        <v>28.7</v>
      </c>
      <c r="AZ71" s="19">
        <f>Table3[[#This Row],[R]]*10</f>
        <v>287</v>
      </c>
      <c r="BA71" s="18">
        <f>Table3[[#This Row],[R2]]*10</f>
        <v>2870</v>
      </c>
      <c r="BB71" s="18">
        <f>Table3[[#This Row],[R3]]*10</f>
        <v>28700</v>
      </c>
      <c r="BC71" s="18">
        <f>Table3[[#This Row],[R4]]*10</f>
        <v>287000</v>
      </c>
      <c r="BD71" s="20">
        <f>Table3[[#This Row],[R]]/10</f>
        <v>2.87</v>
      </c>
      <c r="BE71" s="20">
        <f>Table3[[#This Row],[R6]]/10</f>
        <v>0.28700000000000003</v>
      </c>
      <c r="BF71" s="20">
        <f>Table3[[#This Row],[R7]]/10</f>
        <v>2.8700000000000003E-2</v>
      </c>
      <c r="BG71" s="20">
        <f>Table3[[#This Row],[R8]]/10</f>
        <v>2.8700000000000002E-3</v>
      </c>
      <c r="BH71" s="20">
        <f>Table3[[#This Row],[R9]]/10</f>
        <v>2.8700000000000004E-4</v>
      </c>
    </row>
    <row r="72" spans="2:60" ht="15" customHeight="1" thickBot="1">
      <c r="B72" s="188" t="s">
        <v>165</v>
      </c>
      <c r="C72" s="189" t="str">
        <f>IF(OR(K8="[Select Device]", K7="[Select Configuration]")," ",(K35/$K$32)*1000)</f>
        <v xml:space="preserve"> </v>
      </c>
      <c r="D72" s="870"/>
      <c r="E72" s="190" t="str">
        <f>IF(OR(K8="[Select Device]", K7="[Select Configuration]")," ",E71 * 10000)</f>
        <v xml:space="preserve"> </v>
      </c>
      <c r="F72" s="822" t="s">
        <v>288</v>
      </c>
      <c r="G72" s="817"/>
      <c r="H72" s="823" t="str">
        <f>IF(OR(K8="[Select Device]", K7="[Select Configuration]")," ",K31*VLOOKUP(K8,Devices[],COLUMN(Devices[Gain]),0))</f>
        <v xml:space="preserve"> </v>
      </c>
      <c r="I72" s="824"/>
      <c r="J72" s="816" t="s">
        <v>165</v>
      </c>
      <c r="K72" s="817"/>
      <c r="L72" s="191" t="str">
        <f>IF(OR(K8="[Select Device]", K7="[Select Configuration]")," ",SQRT(SUMSQ($E$74, $C$72, $H$75)))</f>
        <v xml:space="preserve"> </v>
      </c>
      <c r="O72" s="126"/>
      <c r="R72" s="98"/>
      <c r="Y72" s="10"/>
      <c r="AY72" s="52">
        <v>29.4</v>
      </c>
      <c r="AZ72" s="19">
        <f>Table3[[#This Row],[R]]*10</f>
        <v>294</v>
      </c>
      <c r="BA72" s="18">
        <f>Table3[[#This Row],[R2]]*10</f>
        <v>2940</v>
      </c>
      <c r="BB72" s="18">
        <f>Table3[[#This Row],[R3]]*10</f>
        <v>29400</v>
      </c>
      <c r="BC72" s="18">
        <f>Table3[[#This Row],[R4]]*10</f>
        <v>294000</v>
      </c>
      <c r="BD72" s="20">
        <f>Table3[[#This Row],[R]]/10</f>
        <v>2.94</v>
      </c>
      <c r="BE72" s="20">
        <f>Table3[[#This Row],[R6]]/10</f>
        <v>0.29399999999999998</v>
      </c>
      <c r="BF72" s="20">
        <f>Table3[[#This Row],[R7]]/10</f>
        <v>2.9399999999999999E-2</v>
      </c>
      <c r="BG72" s="20">
        <f>Table3[[#This Row],[R8]]/10</f>
        <v>2.9399999999999999E-3</v>
      </c>
      <c r="BH72" s="20">
        <f>Table3[[#This Row],[R9]]/10</f>
        <v>2.9399999999999999E-4</v>
      </c>
    </row>
    <row r="73" spans="2:60" ht="15" customHeight="1" thickBot="1">
      <c r="B73" s="188" t="s">
        <v>166</v>
      </c>
      <c r="C73" s="192" t="str">
        <f>IF(OR(K8="[Select Device]", K7="[Select Configuration]")," ", (K36*$H$71/$K$32)*1000)</f>
        <v xml:space="preserve"> </v>
      </c>
      <c r="D73" s="871" t="s">
        <v>282</v>
      </c>
      <c r="E73" s="169">
        <v>50</v>
      </c>
      <c r="F73" s="825" t="s">
        <v>289</v>
      </c>
      <c r="G73" s="826"/>
      <c r="H73" s="823" t="str">
        <f>IF(OR(K8="[Select Device]", K7="[Select Configuration]")," ",H71*H72)</f>
        <v xml:space="preserve"> </v>
      </c>
      <c r="I73" s="824"/>
      <c r="J73" s="816" t="s">
        <v>166</v>
      </c>
      <c r="K73" s="817"/>
      <c r="L73" s="191" t="str">
        <f>IF(OR(K8="[Select Device]", K7="[Select Configuration]")," ",SQRT(SUMSQ($C$73, $H$76)))</f>
        <v xml:space="preserve"> </v>
      </c>
      <c r="O73" s="126"/>
      <c r="R73" s="98"/>
      <c r="T73" s="130"/>
      <c r="AY73" s="52">
        <v>30.1</v>
      </c>
      <c r="AZ73" s="19">
        <f>Table3[[#This Row],[R]]*10</f>
        <v>301</v>
      </c>
      <c r="BA73" s="18">
        <f>Table3[[#This Row],[R2]]*10</f>
        <v>3010</v>
      </c>
      <c r="BB73" s="18">
        <f>Table3[[#This Row],[R3]]*10</f>
        <v>30100</v>
      </c>
      <c r="BC73" s="18">
        <f>Table3[[#This Row],[R4]]*10</f>
        <v>301000</v>
      </c>
      <c r="BD73" s="20">
        <f>Table3[[#This Row],[R]]/10</f>
        <v>3.0100000000000002</v>
      </c>
      <c r="BE73" s="20">
        <f>Table3[[#This Row],[R6]]/10</f>
        <v>0.30100000000000005</v>
      </c>
      <c r="BF73" s="20">
        <f>Table3[[#This Row],[R7]]/10</f>
        <v>3.0100000000000005E-2</v>
      </c>
      <c r="BG73" s="20">
        <f>Table3[[#This Row],[R8]]/10</f>
        <v>3.0100000000000005E-3</v>
      </c>
      <c r="BH73" s="20">
        <f>Table3[[#This Row],[R9]]/10</f>
        <v>3.0100000000000005E-4</v>
      </c>
    </row>
    <row r="74" spans="2:60" ht="15" customHeight="1" thickBot="1">
      <c r="B74" s="188" t="s">
        <v>167</v>
      </c>
      <c r="C74" s="192" t="str">
        <f>IF(OR(K8="[Select Device]", K7="[Select Configuration]")," ", (K37*$H$71/$K$32)*1000)</f>
        <v xml:space="preserve"> </v>
      </c>
      <c r="D74" s="870"/>
      <c r="E74" s="190" t="str">
        <f>IF(OR(K8="[Select Device]", K7="[Select Configuration]")," ", E73 * Temp_Range)</f>
        <v xml:space="preserve"> </v>
      </c>
      <c r="F74" s="822" t="s">
        <v>164</v>
      </c>
      <c r="G74" s="817"/>
      <c r="H74" s="812" t="str">
        <f>IF(OR(K8="[Select Device]", K7="[Select Configuration]")," ", L57*2*H73/100/$H$73*1000000)</f>
        <v xml:space="preserve"> </v>
      </c>
      <c r="I74" s="813"/>
      <c r="J74" s="816" t="s">
        <v>167</v>
      </c>
      <c r="K74" s="817"/>
      <c r="L74" s="191" t="str">
        <f>IF(OR(K8="[Select Device]", K7="[Select Configuration]")," ",SQRT(SUMSQ( $C$74, $H$77)))</f>
        <v xml:space="preserve"> </v>
      </c>
      <c r="O74" s="126"/>
      <c r="P74" s="98"/>
      <c r="Q74" s="98"/>
      <c r="R74" s="98"/>
      <c r="AY74" s="59">
        <v>30.9</v>
      </c>
      <c r="AZ74" s="19">
        <f>Table3[[#This Row],[R]]*10</f>
        <v>309</v>
      </c>
      <c r="BA74" s="18">
        <f>Table3[[#This Row],[R2]]*10</f>
        <v>3090</v>
      </c>
      <c r="BB74" s="18">
        <f>Table3[[#This Row],[R3]]*10</f>
        <v>30900</v>
      </c>
      <c r="BC74" s="18">
        <f>Table3[[#This Row],[R4]]*10</f>
        <v>309000</v>
      </c>
      <c r="BD74" s="20">
        <f>Table3[[#This Row],[R]]/10</f>
        <v>3.09</v>
      </c>
      <c r="BE74" s="20">
        <f>Table3[[#This Row],[R6]]/10</f>
        <v>0.309</v>
      </c>
      <c r="BF74" s="20">
        <f>Table3[[#This Row],[R7]]/10</f>
        <v>3.09E-2</v>
      </c>
      <c r="BG74" s="20">
        <f>Table3[[#This Row],[R8]]/10</f>
        <v>3.0899999999999999E-3</v>
      </c>
      <c r="BH74" s="20">
        <f>Table3[[#This Row],[R9]]/10</f>
        <v>3.0899999999999998E-4</v>
      </c>
    </row>
    <row r="75" spans="2:60" ht="15" customHeight="1" thickBot="1">
      <c r="B75" s="188" t="s">
        <v>1</v>
      </c>
      <c r="C75" s="189" t="str">
        <f>IF(OR(K8="[Select Device]", K7="[Select Configuration]")," ", (K38/$K$32)*1000)</f>
        <v xml:space="preserve"> </v>
      </c>
      <c r="D75" s="193"/>
      <c r="E75" s="194"/>
      <c r="F75" s="822" t="s">
        <v>165</v>
      </c>
      <c r="G75" s="817"/>
      <c r="H75" s="814" t="str">
        <f>IF(OR(K8="[Select Device]", K7="[Select Configuration]")," ",L51*Temp_Range/1000/$H$73*1000000)</f>
        <v xml:space="preserve"> </v>
      </c>
      <c r="I75" s="815"/>
      <c r="J75" s="816" t="s">
        <v>1</v>
      </c>
      <c r="K75" s="817"/>
      <c r="L75" s="191" t="str">
        <f>IF(OR(K8="[Select Device]", K7="[Select Configuration]")," ",SQRT( SUMSQ( $C$75)))</f>
        <v xml:space="preserve"> </v>
      </c>
      <c r="O75" s="126"/>
      <c r="P75" s="98"/>
      <c r="Q75" s="98"/>
      <c r="R75" s="98"/>
      <c r="AY75" s="54">
        <v>31.6</v>
      </c>
      <c r="AZ75" s="19">
        <f>Table3[[#This Row],[R]]*10</f>
        <v>316</v>
      </c>
      <c r="BA75" s="18">
        <f>Table3[[#This Row],[R2]]*10</f>
        <v>3160</v>
      </c>
      <c r="BB75" s="18">
        <f>Table3[[#This Row],[R3]]*10</f>
        <v>31600</v>
      </c>
      <c r="BC75" s="18">
        <f>Table3[[#This Row],[R4]]*10</f>
        <v>316000</v>
      </c>
      <c r="BD75" s="20">
        <f>Table3[[#This Row],[R]]/10</f>
        <v>3.16</v>
      </c>
      <c r="BE75" s="20">
        <f>Table3[[#This Row],[R6]]/10</f>
        <v>0.316</v>
      </c>
      <c r="BF75" s="20">
        <f>Table3[[#This Row],[R7]]/10</f>
        <v>3.1600000000000003E-2</v>
      </c>
      <c r="BG75" s="20">
        <f>Table3[[#This Row],[R8]]/10</f>
        <v>3.1600000000000005E-3</v>
      </c>
      <c r="BH75" s="20">
        <f>Table3[[#This Row],[R9]]/10</f>
        <v>3.1600000000000004E-4</v>
      </c>
    </row>
    <row r="76" spans="2:60" ht="15" customHeight="1" thickBot="1">
      <c r="B76" s="188" t="s">
        <v>2</v>
      </c>
      <c r="C76" s="189" t="str">
        <f>IF(OR(K8="[Select Device]", K7="[Select Configuration]")," ", (K39/$K$32)*1000)</f>
        <v xml:space="preserve"> </v>
      </c>
      <c r="D76" s="193"/>
      <c r="E76" s="194"/>
      <c r="F76" s="822" t="s">
        <v>166</v>
      </c>
      <c r="G76" s="817"/>
      <c r="H76" s="814" t="str">
        <f>IF(OR(K8="[Select Device]", K7="[Select Configuration]")," ",(L53+L49)*$H$71/$H$73*1000000)</f>
        <v xml:space="preserve"> </v>
      </c>
      <c r="I76" s="815"/>
      <c r="J76" s="816" t="s">
        <v>2</v>
      </c>
      <c r="K76" s="817"/>
      <c r="L76" s="191" t="str">
        <f>IF(OR(K8="[Select Device]", K7="[Select Configuration]")," ",SQRT( SUMSQ( $C$76)))</f>
        <v xml:space="preserve"> </v>
      </c>
      <c r="O76" s="126"/>
      <c r="P76" s="98"/>
      <c r="Q76" s="98"/>
      <c r="R76" s="98"/>
      <c r="AY76" s="52">
        <v>32.4</v>
      </c>
      <c r="AZ76" s="19">
        <f>Table3[[#This Row],[R]]*10</f>
        <v>324</v>
      </c>
      <c r="BA76" s="18">
        <f>Table3[[#This Row],[R2]]*10</f>
        <v>3240</v>
      </c>
      <c r="BB76" s="18">
        <f>Table3[[#This Row],[R3]]*10</f>
        <v>32400</v>
      </c>
      <c r="BC76" s="18">
        <f>Table3[[#This Row],[R4]]*10</f>
        <v>324000</v>
      </c>
      <c r="BD76" s="20">
        <f>Table3[[#This Row],[R]]/10</f>
        <v>3.2399999999999998</v>
      </c>
      <c r="BE76" s="20">
        <f>Table3[[#This Row],[R6]]/10</f>
        <v>0.32399999999999995</v>
      </c>
      <c r="BF76" s="20">
        <f>Table3[[#This Row],[R7]]/10</f>
        <v>3.2399999999999998E-2</v>
      </c>
      <c r="BG76" s="20">
        <f>Table3[[#This Row],[R8]]/10</f>
        <v>3.2399999999999998E-3</v>
      </c>
      <c r="BH76" s="20">
        <f>Table3[[#This Row],[R9]]/10</f>
        <v>3.2399999999999996E-4</v>
      </c>
    </row>
    <row r="77" spans="2:60" ht="15" customHeight="1" thickBot="1">
      <c r="B77" s="195" t="s">
        <v>168</v>
      </c>
      <c r="C77" s="196" t="str">
        <f>IF(OR(K8="[Select Device]", K7="[Select Configuration]")," ", (K40*$H$71/$K$32)*1000)</f>
        <v xml:space="preserve"> </v>
      </c>
      <c r="D77" s="197"/>
      <c r="E77" s="198"/>
      <c r="F77" s="860" t="s">
        <v>167</v>
      </c>
      <c r="G77" s="793"/>
      <c r="H77" s="876" t="str">
        <f>IF(OR(K8="[Select Device]", K7="[Select Configuration]")," ",(L55)*Temp_Range/1000*$H$71/$H$73*1000000 +L51*1000)</f>
        <v xml:space="preserve"> </v>
      </c>
      <c r="I77" s="877"/>
      <c r="J77" s="792" t="s">
        <v>168</v>
      </c>
      <c r="K77" s="793"/>
      <c r="L77" s="191" t="str">
        <f>IF(OR(K8="[Select Device]", K7="[Select Configuration]")," ",SQRT( SUMSQ( $C$77)))</f>
        <v xml:space="preserve"> </v>
      </c>
      <c r="O77" s="126"/>
      <c r="P77" s="98"/>
      <c r="Q77" s="98"/>
      <c r="R77" s="98"/>
      <c r="T77" s="99"/>
      <c r="AY77" s="52">
        <v>33.200000000000003</v>
      </c>
      <c r="AZ77" s="19">
        <f>Table3[[#This Row],[R]]*10</f>
        <v>332</v>
      </c>
      <c r="BA77" s="18">
        <f>Table3[[#This Row],[R2]]*10</f>
        <v>3320</v>
      </c>
      <c r="BB77" s="18">
        <f>Table3[[#This Row],[R3]]*10</f>
        <v>33200</v>
      </c>
      <c r="BC77" s="18">
        <f>Table3[[#This Row],[R4]]*10</f>
        <v>332000</v>
      </c>
      <c r="BD77" s="20">
        <f>Table3[[#This Row],[R]]/10</f>
        <v>3.3200000000000003</v>
      </c>
      <c r="BE77" s="20">
        <f>Table3[[#This Row],[R6]]/10</f>
        <v>0.33200000000000002</v>
      </c>
      <c r="BF77" s="20">
        <f>Table3[[#This Row],[R7]]/10</f>
        <v>3.32E-2</v>
      </c>
      <c r="BG77" s="20">
        <f>Table3[[#This Row],[R8]]/10</f>
        <v>3.32E-3</v>
      </c>
      <c r="BH77" s="20">
        <f>Table3[[#This Row],[R9]]/10</f>
        <v>3.3199999999999999E-4</v>
      </c>
    </row>
    <row r="78" spans="2:60" ht="20" customHeight="1" thickBot="1">
      <c r="B78" s="858" t="str">
        <f xml:space="preserve"> K8&amp; " (1) + Shunt (2) + TLV9002 (3)"</f>
        <v>[Select Device] (1) + Shunt (2) + TLV9002 (3)</v>
      </c>
      <c r="C78" s="859"/>
      <c r="D78" s="859"/>
      <c r="E78" s="170" t="s">
        <v>304</v>
      </c>
      <c r="F78" s="827" t="s">
        <v>298</v>
      </c>
      <c r="G78" s="828"/>
      <c r="H78" s="827" t="s">
        <v>303</v>
      </c>
      <c r="I78" s="828"/>
      <c r="J78" s="778" t="s">
        <v>370</v>
      </c>
      <c r="K78" s="779"/>
      <c r="L78" s="171" t="s">
        <v>299</v>
      </c>
      <c r="M78" s="154"/>
      <c r="N78" s="12"/>
      <c r="P78" s="122"/>
      <c r="R78" s="98"/>
      <c r="S78" s="98"/>
      <c r="T78" s="98"/>
      <c r="AY78" s="52">
        <v>34</v>
      </c>
      <c r="AZ78" s="19">
        <f>Table3[[#This Row],[R]]*10</f>
        <v>340</v>
      </c>
      <c r="BA78" s="18">
        <f>Table3[[#This Row],[R2]]*10</f>
        <v>3400</v>
      </c>
      <c r="BB78" s="18">
        <f>Table3[[#This Row],[R3]]*10</f>
        <v>34000</v>
      </c>
      <c r="BC78" s="18">
        <f>Table3[[#This Row],[R4]]*10</f>
        <v>340000</v>
      </c>
      <c r="BD78" s="20">
        <f>Table3[[#This Row],[R]]/10</f>
        <v>3.4</v>
      </c>
      <c r="BE78" s="20">
        <f>Table3[[#This Row],[R6]]/10</f>
        <v>0.33999999999999997</v>
      </c>
      <c r="BF78" s="20">
        <f>Table3[[#This Row],[R7]]/10</f>
        <v>3.3999999999999996E-2</v>
      </c>
      <c r="BG78" s="20">
        <f>Table3[[#This Row],[R8]]/10</f>
        <v>3.3999999999999994E-3</v>
      </c>
      <c r="BH78" s="20">
        <f>Table3[[#This Row],[R9]]/10</f>
        <v>3.3999999999999992E-4</v>
      </c>
    </row>
    <row r="79" spans="2:60" ht="15" customHeight="1" thickBot="1">
      <c r="B79" s="199" t="s">
        <v>295</v>
      </c>
      <c r="C79" s="200"/>
      <c r="D79" s="200"/>
      <c r="E79" s="214" t="str">
        <f>IF(OR(K8="[Select Device]", K7="[Select Configuration]")," ",E82/3)</f>
        <v xml:space="preserve"> </v>
      </c>
      <c r="F79" s="806" t="str">
        <f>IF(OR(K8="[Select Device]", K7="[Select Configuration]")," ",E79/1000000)</f>
        <v xml:space="preserve"> </v>
      </c>
      <c r="G79" s="807"/>
      <c r="H79" s="867" t="str">
        <f>IF(OR(K8="[Select Device]", K7="[Select Configuration]")," ",F79*H73)</f>
        <v xml:space="preserve"> </v>
      </c>
      <c r="I79" s="868"/>
      <c r="J79" s="863" t="str">
        <f>IF(OR(K8="[Select Device]", K7="[Select Configuration]")," ",F79*K31)</f>
        <v xml:space="preserve"> </v>
      </c>
      <c r="K79" s="864"/>
      <c r="L79" s="201" t="str">
        <f>IF(OR(K8="[Select Device]", K7="[Select Configuration]")," ",J79/K31*K9)</f>
        <v xml:space="preserve"> </v>
      </c>
      <c r="M79" s="155"/>
      <c r="N79" s="12"/>
      <c r="P79" s="100"/>
      <c r="R79" s="98"/>
      <c r="S79" s="98"/>
      <c r="T79" s="98"/>
      <c r="AY79" s="52">
        <v>34.799999999999997</v>
      </c>
      <c r="AZ79" s="19">
        <f>Table3[[#This Row],[R]]*10</f>
        <v>348</v>
      </c>
      <c r="BA79" s="18">
        <f>Table3[[#This Row],[R2]]*10</f>
        <v>3480</v>
      </c>
      <c r="BB79" s="18">
        <f>Table3[[#This Row],[R3]]*10</f>
        <v>34800</v>
      </c>
      <c r="BC79" s="18">
        <f>Table3[[#This Row],[R4]]*10</f>
        <v>348000</v>
      </c>
      <c r="BD79" s="20">
        <f>Table3[[#This Row],[R]]/10</f>
        <v>3.4799999999999995</v>
      </c>
      <c r="BE79" s="20">
        <f>Table3[[#This Row],[R6]]/10</f>
        <v>0.34799999999999998</v>
      </c>
      <c r="BF79" s="20">
        <f>Table3[[#This Row],[R7]]/10</f>
        <v>3.4799999999999998E-2</v>
      </c>
      <c r="BG79" s="20">
        <f>Table3[[#This Row],[R8]]/10</f>
        <v>3.4799999999999996E-3</v>
      </c>
      <c r="BH79" s="20">
        <f>Table3[[#This Row],[R9]]/10</f>
        <v>3.4799999999999995E-4</v>
      </c>
    </row>
    <row r="80" spans="2:60" ht="15" customHeight="1" thickBot="1">
      <c r="B80" s="193" t="s">
        <v>296</v>
      </c>
      <c r="C80" s="202"/>
      <c r="D80" s="202"/>
      <c r="E80" s="203" t="str">
        <f>IF(OR(K8="[Select Device]", K7="[Select Configuration]")," ",E83/3)</f>
        <v xml:space="preserve"> </v>
      </c>
      <c r="F80" s="808" t="str">
        <f>IF(OR(K8="[Select Device]", K7="[Select Configuration]")," ",E80/1000000)</f>
        <v xml:space="preserve"> </v>
      </c>
      <c r="G80" s="809"/>
      <c r="H80" s="780" t="str">
        <f>IF(OR(K8="[Select Device]", K7="[Select Configuration]")," ",F80*H73)</f>
        <v xml:space="preserve"> </v>
      </c>
      <c r="I80" s="781"/>
      <c r="J80" s="780" t="str">
        <f>IF(OR(K8="[Select Device]", K7="[Select Configuration]")," ",F80*K31)</f>
        <v xml:space="preserve"> </v>
      </c>
      <c r="K80" s="781"/>
      <c r="L80" s="204" t="str">
        <f>IF(OR(K8="[Select Device]", K7="[Select Configuration]")," ",J80/K31*K9)</f>
        <v xml:space="preserve"> </v>
      </c>
      <c r="M80" s="155"/>
      <c r="N80" s="12"/>
      <c r="P80" s="100"/>
      <c r="R80" s="100"/>
      <c r="S80" s="100"/>
      <c r="T80" s="100"/>
      <c r="AY80" s="52">
        <v>35.700000000000003</v>
      </c>
      <c r="AZ80" s="19">
        <f>Table3[[#This Row],[R]]*10</f>
        <v>357</v>
      </c>
      <c r="BA80" s="18">
        <f>Table3[[#This Row],[R2]]*10</f>
        <v>3570</v>
      </c>
      <c r="BB80" s="18">
        <f>Table3[[#This Row],[R3]]*10</f>
        <v>35700</v>
      </c>
      <c r="BC80" s="18">
        <f>Table3[[#This Row],[R4]]*10</f>
        <v>357000</v>
      </c>
      <c r="BD80" s="20">
        <f>Table3[[#This Row],[R]]/10</f>
        <v>3.5700000000000003</v>
      </c>
      <c r="BE80" s="20">
        <f>Table3[[#This Row],[R6]]/10</f>
        <v>0.35700000000000004</v>
      </c>
      <c r="BF80" s="20">
        <f>Table3[[#This Row],[R7]]/10</f>
        <v>3.5700000000000003E-2</v>
      </c>
      <c r="BG80" s="20">
        <f>Table3[[#This Row],[R8]]/10</f>
        <v>3.5700000000000003E-3</v>
      </c>
      <c r="BH80" s="20">
        <f>Table3[[#This Row],[R9]]/10</f>
        <v>3.57E-4</v>
      </c>
    </row>
    <row r="81" spans="2:60" ht="15" customHeight="1" thickBot="1">
      <c r="B81" s="205" t="s">
        <v>297</v>
      </c>
      <c r="C81" s="206"/>
      <c r="D81" s="206"/>
      <c r="E81" s="207" t="str">
        <f>IF(OR(K8="[Select Device]", K7="[Select Configuration]")," ",E84/3)</f>
        <v xml:space="preserve"> </v>
      </c>
      <c r="F81" s="810" t="str">
        <f>IF(OR(K8="[Select Device]", K7="[Select Configuration]")," ",E81/1000000)</f>
        <v xml:space="preserve"> </v>
      </c>
      <c r="G81" s="811"/>
      <c r="H81" s="865" t="str">
        <f>IF(OR(K8="[Select Device]", K7="[Select Configuration]")," ",F81*H73)</f>
        <v xml:space="preserve"> </v>
      </c>
      <c r="I81" s="866"/>
      <c r="J81" s="865" t="str">
        <f>IF(OR(K8="[Select Device]", K7="[Select Configuration]")," ",F81*K31)</f>
        <v xml:space="preserve"> </v>
      </c>
      <c r="K81" s="866"/>
      <c r="L81" s="208" t="str">
        <f>IF(OR(K8="[Select Device]", K7="[Select Configuration]")," ",J81/K31*K9)</f>
        <v xml:space="preserve"> </v>
      </c>
      <c r="M81" s="155"/>
      <c r="N81" s="12"/>
      <c r="P81" s="100"/>
      <c r="R81" s="100"/>
      <c r="S81" s="100"/>
      <c r="T81" s="100"/>
      <c r="AY81" s="52">
        <v>36.5</v>
      </c>
      <c r="AZ81" s="19">
        <f>Table3[[#This Row],[R]]*10</f>
        <v>365</v>
      </c>
      <c r="BA81" s="18">
        <f>Table3[[#This Row],[R2]]*10</f>
        <v>3650</v>
      </c>
      <c r="BB81" s="18">
        <f>Table3[[#This Row],[R3]]*10</f>
        <v>36500</v>
      </c>
      <c r="BC81" s="18">
        <f>Table3[[#This Row],[R4]]*10</f>
        <v>365000</v>
      </c>
      <c r="BD81" s="20">
        <f>Table3[[#This Row],[R]]/10</f>
        <v>3.65</v>
      </c>
      <c r="BE81" s="20">
        <f>Table3[[#This Row],[R6]]/10</f>
        <v>0.36499999999999999</v>
      </c>
      <c r="BF81" s="20">
        <f>Table3[[#This Row],[R7]]/10</f>
        <v>3.6499999999999998E-2</v>
      </c>
      <c r="BG81" s="20">
        <f>Table3[[#This Row],[R8]]/10</f>
        <v>3.6499999999999996E-3</v>
      </c>
      <c r="BH81" s="20">
        <f>Table3[[#This Row],[R9]]/10</f>
        <v>3.6499999999999998E-4</v>
      </c>
    </row>
    <row r="82" spans="2:60" ht="15" customHeight="1" thickBot="1">
      <c r="B82" s="193" t="s">
        <v>292</v>
      </c>
      <c r="C82" s="202"/>
      <c r="D82" s="202"/>
      <c r="E82" s="215" t="str">
        <f>IF(OR(K8="[Select Device]", K7="[Select Configuration]")," ",SQRT(SUMSQ(L71,L73,L72,L74,L75,L76,L77)))</f>
        <v xml:space="preserve"> </v>
      </c>
      <c r="F82" s="861" t="str">
        <f>IF(OR(K8="[Select Device]", K7="[Select Configuration]")," ",E82/1000000)</f>
        <v xml:space="preserve"> </v>
      </c>
      <c r="G82" s="862"/>
      <c r="H82" s="829" t="str">
        <f>IF(OR(K8="[Select Device]", K7="[Select Configuration]")," ",F82*H73)</f>
        <v xml:space="preserve"> </v>
      </c>
      <c r="I82" s="830"/>
      <c r="J82" s="780" t="str">
        <f>IF(OR(K8="[Select Device]", K7="[Select Configuration]")," ",F82*K31)</f>
        <v xml:space="preserve"> </v>
      </c>
      <c r="K82" s="781"/>
      <c r="L82" s="204" t="str">
        <f>IF(OR(K8="[Select Device]", K7="[Select Configuration]")," ",J82/K31*K9)</f>
        <v xml:space="preserve"> </v>
      </c>
      <c r="M82" s="155"/>
      <c r="N82" s="12"/>
      <c r="P82" s="100"/>
      <c r="R82" s="100"/>
      <c r="S82" s="100"/>
      <c r="T82" s="100"/>
      <c r="AY82" s="54">
        <v>38.299999999999997</v>
      </c>
      <c r="AZ82" s="19">
        <f>Table3[[#This Row],[R]]*10</f>
        <v>383</v>
      </c>
      <c r="BA82" s="18">
        <f>Table3[[#This Row],[R2]]*10</f>
        <v>3830</v>
      </c>
      <c r="BB82" s="18">
        <f>Table3[[#This Row],[R3]]*10</f>
        <v>38300</v>
      </c>
      <c r="BC82" s="18">
        <f>Table3[[#This Row],[R4]]*10</f>
        <v>383000</v>
      </c>
      <c r="BD82" s="20">
        <f>Table3[[#This Row],[R]]/10</f>
        <v>3.8299999999999996</v>
      </c>
      <c r="BE82" s="20">
        <f>Table3[[#This Row],[R6]]/10</f>
        <v>0.38299999999999995</v>
      </c>
      <c r="BF82" s="20">
        <f>Table3[[#This Row],[R7]]/10</f>
        <v>3.8299999999999994E-2</v>
      </c>
      <c r="BG82" s="20">
        <f>Table3[[#This Row],[R8]]/10</f>
        <v>3.8299999999999992E-3</v>
      </c>
      <c r="BH82" s="20">
        <f>Table3[[#This Row],[R9]]/10</f>
        <v>3.8299999999999993E-4</v>
      </c>
    </row>
    <row r="83" spans="2:60" ht="15" customHeight="1" thickBot="1">
      <c r="B83" s="193" t="s">
        <v>293</v>
      </c>
      <c r="C83" s="202"/>
      <c r="D83" s="202"/>
      <c r="E83" s="203" t="str">
        <f>IF(OR(K8="[Select Device]", K7="[Select Configuration]")," ",SQRT(SUMSQ(L71,L72,L74,L75,L76)))</f>
        <v xml:space="preserve"> </v>
      </c>
      <c r="F83" s="808" t="str">
        <f>IF(OR(K8="[Select Device]", K7="[Select Configuration]")," ",E83/1000000)</f>
        <v xml:space="preserve"> </v>
      </c>
      <c r="G83" s="809"/>
      <c r="H83" s="780" t="str">
        <f>IF(OR(K8="[Select Device]", K7="[Select Configuration]")," ",F83*H73)</f>
        <v xml:space="preserve"> </v>
      </c>
      <c r="I83" s="781"/>
      <c r="J83" s="780" t="str">
        <f>IF(OR(K8="[Select Device]", K7="[Select Configuration]")," ",F83*K31)</f>
        <v xml:space="preserve"> </v>
      </c>
      <c r="K83" s="781"/>
      <c r="L83" s="204" t="str">
        <f>IF(OR(K8="[Select Device]", K7="[Select Configuration]")," ",J83/K31*K9)</f>
        <v xml:space="preserve"> </v>
      </c>
      <c r="M83" s="155"/>
      <c r="N83" s="12"/>
      <c r="P83" s="100"/>
      <c r="R83" s="100"/>
      <c r="S83" s="100"/>
      <c r="T83" s="100"/>
      <c r="AY83" s="52">
        <v>39.200000000000003</v>
      </c>
      <c r="AZ83" s="19">
        <f>Table3[[#This Row],[R]]*10</f>
        <v>392</v>
      </c>
      <c r="BA83" s="18">
        <f>Table3[[#This Row],[R2]]*10</f>
        <v>3920</v>
      </c>
      <c r="BB83" s="18">
        <f>Table3[[#This Row],[R3]]*10</f>
        <v>39200</v>
      </c>
      <c r="BC83" s="18">
        <f>Table3[[#This Row],[R4]]*10</f>
        <v>392000</v>
      </c>
      <c r="BD83" s="20">
        <f>Table3[[#This Row],[R]]/10</f>
        <v>3.9200000000000004</v>
      </c>
      <c r="BE83" s="20">
        <f>Table3[[#This Row],[R6]]/10</f>
        <v>0.39200000000000002</v>
      </c>
      <c r="BF83" s="20">
        <f>Table3[[#This Row],[R7]]/10</f>
        <v>3.9199999999999999E-2</v>
      </c>
      <c r="BG83" s="20">
        <f>Table3[[#This Row],[R8]]/10</f>
        <v>3.9199999999999999E-3</v>
      </c>
      <c r="BH83" s="20">
        <f>Table3[[#This Row],[R9]]/10</f>
        <v>3.9199999999999999E-4</v>
      </c>
    </row>
    <row r="84" spans="2:60" ht="15" customHeight="1" thickBot="1">
      <c r="B84" s="197" t="s">
        <v>294</v>
      </c>
      <c r="C84" s="209"/>
      <c r="D84" s="209"/>
      <c r="E84" s="210" t="str">
        <f>IF(OR(K8="[Select Device]", K7="[Select Configuration]")," ",SQRT(SUMSQ(L72,L74,L75,L76)))</f>
        <v xml:space="preserve"> </v>
      </c>
      <c r="F84" s="837" t="str">
        <f>IF(OR(K8="[Select Device]", K7="[Select Configuration]")," ",E84/1000000)</f>
        <v xml:space="preserve"> </v>
      </c>
      <c r="G84" s="838"/>
      <c r="H84" s="803" t="str">
        <f>IF(OR(K8="[Select Device]", K7="[Select Configuration]")," ",F84*H73)</f>
        <v xml:space="preserve"> </v>
      </c>
      <c r="I84" s="804"/>
      <c r="J84" s="803" t="str">
        <f>IF(OR(K8="[Select Device]", K7="[Select Configuration]")," ",F84*K31)</f>
        <v xml:space="preserve"> </v>
      </c>
      <c r="K84" s="804"/>
      <c r="L84" s="211" t="str">
        <f>IF(OR(K8="[Select Device]", K7="[Select Configuration]")," ",J84/K31*K9)</f>
        <v xml:space="preserve"> </v>
      </c>
      <c r="M84" s="155"/>
      <c r="N84" s="12"/>
      <c r="P84" s="100"/>
      <c r="R84" s="100"/>
      <c r="S84" s="100"/>
      <c r="T84" s="100"/>
      <c r="AY84" s="52">
        <v>40.200000000000003</v>
      </c>
      <c r="AZ84" s="19">
        <f>Table3[[#This Row],[R]]*10</f>
        <v>402</v>
      </c>
      <c r="BA84" s="18">
        <f>Table3[[#This Row],[R2]]*10</f>
        <v>4020</v>
      </c>
      <c r="BB84" s="18">
        <f>Table3[[#This Row],[R3]]*10</f>
        <v>40200</v>
      </c>
      <c r="BC84" s="18">
        <f>Table3[[#This Row],[R4]]*10</f>
        <v>402000</v>
      </c>
      <c r="BD84" s="20">
        <f>Table3[[#This Row],[R]]/10</f>
        <v>4.0200000000000005</v>
      </c>
      <c r="BE84" s="20">
        <f>Table3[[#This Row],[R6]]/10</f>
        <v>0.40200000000000002</v>
      </c>
      <c r="BF84" s="20">
        <f>Table3[[#This Row],[R7]]/10</f>
        <v>4.02E-2</v>
      </c>
      <c r="BG84" s="20">
        <f>Table3[[#This Row],[R8]]/10</f>
        <v>4.0200000000000001E-3</v>
      </c>
      <c r="BH84" s="20">
        <f>Table3[[#This Row],[R9]]/10</f>
        <v>4.0200000000000001E-4</v>
      </c>
    </row>
    <row r="85" spans="2:60" ht="17.649999999999999" thickBot="1">
      <c r="AY85" s="52">
        <v>41.2</v>
      </c>
      <c r="AZ85" s="19">
        <f>Table3[[#This Row],[R]]*10</f>
        <v>412</v>
      </c>
      <c r="BA85" s="18">
        <f>Table3[[#This Row],[R2]]*10</f>
        <v>4120</v>
      </c>
      <c r="BB85" s="18">
        <f>Table3[[#This Row],[R3]]*10</f>
        <v>41200</v>
      </c>
      <c r="BC85" s="18">
        <f>Table3[[#This Row],[R4]]*10</f>
        <v>412000</v>
      </c>
      <c r="BD85" s="20">
        <f>Table3[[#This Row],[R]]/10</f>
        <v>4.12</v>
      </c>
      <c r="BE85" s="20">
        <f>Table3[[#This Row],[R6]]/10</f>
        <v>0.41200000000000003</v>
      </c>
      <c r="BF85" s="20">
        <f>Table3[[#This Row],[R7]]/10</f>
        <v>4.1200000000000001E-2</v>
      </c>
      <c r="BG85" s="20">
        <f>Table3[[#This Row],[R8]]/10</f>
        <v>4.1200000000000004E-3</v>
      </c>
      <c r="BH85" s="20">
        <f>Table3[[#This Row],[R9]]/10</f>
        <v>4.1200000000000004E-4</v>
      </c>
    </row>
    <row r="86" spans="2:60" ht="17.649999999999999" thickBot="1">
      <c r="AY86" s="52">
        <v>42.2</v>
      </c>
      <c r="AZ86" s="19">
        <f>Table3[[#This Row],[R]]*10</f>
        <v>422</v>
      </c>
      <c r="BA86" s="18">
        <f>Table3[[#This Row],[R2]]*10</f>
        <v>4220</v>
      </c>
      <c r="BB86" s="18">
        <f>Table3[[#This Row],[R3]]*10</f>
        <v>42200</v>
      </c>
      <c r="BC86" s="18">
        <f>Table3[[#This Row],[R4]]*10</f>
        <v>422000</v>
      </c>
      <c r="BD86" s="20">
        <f>Table3[[#This Row],[R]]/10</f>
        <v>4.2200000000000006</v>
      </c>
      <c r="BE86" s="20">
        <f>Table3[[#This Row],[R6]]/10</f>
        <v>0.42200000000000004</v>
      </c>
      <c r="BF86" s="20">
        <f>Table3[[#This Row],[R7]]/10</f>
        <v>4.2200000000000001E-2</v>
      </c>
      <c r="BG86" s="20">
        <f>Table3[[#This Row],[R8]]/10</f>
        <v>4.2199999999999998E-3</v>
      </c>
      <c r="BH86" s="20">
        <f>Table3[[#This Row],[R9]]/10</f>
        <v>4.2199999999999996E-4</v>
      </c>
    </row>
    <row r="87" spans="2:60" ht="17.649999999999999" thickBot="1">
      <c r="AY87" s="52">
        <v>43.2</v>
      </c>
      <c r="AZ87" s="19">
        <f>Table3[[#This Row],[R]]*10</f>
        <v>432</v>
      </c>
      <c r="BA87" s="18">
        <f>Table3[[#This Row],[R2]]*10</f>
        <v>4320</v>
      </c>
      <c r="BB87" s="18">
        <f>Table3[[#This Row],[R3]]*10</f>
        <v>43200</v>
      </c>
      <c r="BC87" s="18">
        <f>Table3[[#This Row],[R4]]*10</f>
        <v>432000</v>
      </c>
      <c r="BD87" s="20">
        <f>Table3[[#This Row],[R]]/10</f>
        <v>4.32</v>
      </c>
      <c r="BE87" s="20">
        <f>Table3[[#This Row],[R6]]/10</f>
        <v>0.43200000000000005</v>
      </c>
      <c r="BF87" s="20">
        <f>Table3[[#This Row],[R7]]/10</f>
        <v>4.3200000000000002E-2</v>
      </c>
      <c r="BG87" s="20">
        <f>Table3[[#This Row],[R8]]/10</f>
        <v>4.3200000000000001E-3</v>
      </c>
      <c r="BH87" s="20">
        <f>Table3[[#This Row],[R9]]/10</f>
        <v>4.3199999999999998E-4</v>
      </c>
    </row>
    <row r="88" spans="2:60" ht="17.649999999999999" thickBot="1">
      <c r="AY88" s="52">
        <v>44.2</v>
      </c>
      <c r="AZ88" s="19">
        <f>Table3[[#This Row],[R]]*10</f>
        <v>442</v>
      </c>
      <c r="BA88" s="18">
        <f>Table3[[#This Row],[R2]]*10</f>
        <v>4420</v>
      </c>
      <c r="BB88" s="18">
        <f>Table3[[#This Row],[R3]]*10</f>
        <v>44200</v>
      </c>
      <c r="BC88" s="18">
        <f>Table3[[#This Row],[R4]]*10</f>
        <v>442000</v>
      </c>
      <c r="BD88" s="20">
        <f>Table3[[#This Row],[R]]/10</f>
        <v>4.42</v>
      </c>
      <c r="BE88" s="20">
        <f>Table3[[#This Row],[R6]]/10</f>
        <v>0.442</v>
      </c>
      <c r="BF88" s="20">
        <f>Table3[[#This Row],[R7]]/10</f>
        <v>4.4200000000000003E-2</v>
      </c>
      <c r="BG88" s="20">
        <f>Table3[[#This Row],[R8]]/10</f>
        <v>4.4200000000000003E-3</v>
      </c>
      <c r="BH88" s="20">
        <f>Table3[[#This Row],[R9]]/10</f>
        <v>4.4200000000000001E-4</v>
      </c>
    </row>
    <row r="89" spans="2:60" ht="17.649999999999999" thickBot="1">
      <c r="AY89" s="59">
        <v>45.3</v>
      </c>
      <c r="AZ89" s="19">
        <f>Table3[[#This Row],[R]]*10</f>
        <v>453</v>
      </c>
      <c r="BA89" s="18">
        <f>Table3[[#This Row],[R2]]*10</f>
        <v>4530</v>
      </c>
      <c r="BB89" s="18">
        <f>Table3[[#This Row],[R3]]*10</f>
        <v>45300</v>
      </c>
      <c r="BC89" s="18">
        <f>Table3[[#This Row],[R4]]*10</f>
        <v>453000</v>
      </c>
      <c r="BD89" s="20">
        <f>Table3[[#This Row],[R]]/10</f>
        <v>4.5299999999999994</v>
      </c>
      <c r="BE89" s="20">
        <f>Table3[[#This Row],[R6]]/10</f>
        <v>0.45299999999999996</v>
      </c>
      <c r="BF89" s="20">
        <f>Table3[[#This Row],[R7]]/10</f>
        <v>4.5299999999999993E-2</v>
      </c>
      <c r="BG89" s="20">
        <f>Table3[[#This Row],[R8]]/10</f>
        <v>4.5299999999999993E-3</v>
      </c>
      <c r="BH89" s="20">
        <f>Table3[[#This Row],[R9]]/10</f>
        <v>4.5299999999999995E-4</v>
      </c>
    </row>
    <row r="90" spans="2:60" ht="17.649999999999999" thickBot="1">
      <c r="AY90" s="54">
        <v>46.4</v>
      </c>
      <c r="AZ90" s="19">
        <f>Table3[[#This Row],[R]]*10</f>
        <v>464</v>
      </c>
      <c r="BA90" s="18">
        <f>Table3[[#This Row],[R2]]*10</f>
        <v>4640</v>
      </c>
      <c r="BB90" s="18">
        <f>Table3[[#This Row],[R3]]*10</f>
        <v>46400</v>
      </c>
      <c r="BC90" s="18">
        <f>Table3[[#This Row],[R4]]*10</f>
        <v>464000</v>
      </c>
      <c r="BD90" s="20">
        <f>Table3[[#This Row],[R]]/10</f>
        <v>4.6399999999999997</v>
      </c>
      <c r="BE90" s="20">
        <f>Table3[[#This Row],[R6]]/10</f>
        <v>0.46399999999999997</v>
      </c>
      <c r="BF90" s="20">
        <f>Table3[[#This Row],[R7]]/10</f>
        <v>4.6399999999999997E-2</v>
      </c>
      <c r="BG90" s="20">
        <f>Table3[[#This Row],[R8]]/10</f>
        <v>4.64E-3</v>
      </c>
      <c r="BH90" s="20">
        <f>Table3[[#This Row],[R9]]/10</f>
        <v>4.64E-4</v>
      </c>
    </row>
    <row r="91" spans="2:60" ht="17.649999999999999" thickBot="1">
      <c r="AY91" s="52">
        <v>47.5</v>
      </c>
      <c r="AZ91" s="19">
        <f>Table3[[#This Row],[R]]*10</f>
        <v>475</v>
      </c>
      <c r="BA91" s="18">
        <f>Table3[[#This Row],[R2]]*10</f>
        <v>4750</v>
      </c>
      <c r="BB91" s="18">
        <f>Table3[[#This Row],[R3]]*10</f>
        <v>47500</v>
      </c>
      <c r="BC91" s="18">
        <f>Table3[[#This Row],[R4]]*10</f>
        <v>475000</v>
      </c>
      <c r="BD91" s="20">
        <f>Table3[[#This Row],[R]]/10</f>
        <v>4.75</v>
      </c>
      <c r="BE91" s="20">
        <f>Table3[[#This Row],[R6]]/10</f>
        <v>0.47499999999999998</v>
      </c>
      <c r="BF91" s="20">
        <f>Table3[[#This Row],[R7]]/10</f>
        <v>4.7500000000000001E-2</v>
      </c>
      <c r="BG91" s="20">
        <f>Table3[[#This Row],[R8]]/10</f>
        <v>4.7499999999999999E-3</v>
      </c>
      <c r="BH91" s="20">
        <f>Table3[[#This Row],[R9]]/10</f>
        <v>4.75E-4</v>
      </c>
    </row>
    <row r="92" spans="2:60" ht="17.649999999999999" thickBot="1">
      <c r="AY92" s="52">
        <v>48.7</v>
      </c>
      <c r="AZ92" s="19">
        <f>Table3[[#This Row],[R]]*10</f>
        <v>487</v>
      </c>
      <c r="BA92" s="18">
        <f>Table3[[#This Row],[R2]]*10</f>
        <v>4870</v>
      </c>
      <c r="BB92" s="18">
        <f>Table3[[#This Row],[R3]]*10</f>
        <v>48700</v>
      </c>
      <c r="BC92" s="18">
        <f>Table3[[#This Row],[R4]]*10</f>
        <v>487000</v>
      </c>
      <c r="BD92" s="20">
        <f>Table3[[#This Row],[R]]/10</f>
        <v>4.87</v>
      </c>
      <c r="BE92" s="20">
        <f>Table3[[#This Row],[R6]]/10</f>
        <v>0.48699999999999999</v>
      </c>
      <c r="BF92" s="20">
        <f>Table3[[#This Row],[R7]]/10</f>
        <v>4.87E-2</v>
      </c>
      <c r="BG92" s="20">
        <f>Table3[[#This Row],[R8]]/10</f>
        <v>4.8700000000000002E-3</v>
      </c>
      <c r="BH92" s="20">
        <f>Table3[[#This Row],[R9]]/10</f>
        <v>4.8700000000000002E-4</v>
      </c>
    </row>
    <row r="93" spans="2:60" ht="17.649999999999999" thickBot="1">
      <c r="AY93" s="52">
        <v>49.9</v>
      </c>
      <c r="AZ93" s="19">
        <f>Table3[[#This Row],[R]]*10</f>
        <v>499</v>
      </c>
      <c r="BA93" s="18">
        <f>Table3[[#This Row],[R2]]*10</f>
        <v>4990</v>
      </c>
      <c r="BB93" s="18">
        <f>Table3[[#This Row],[R3]]*10</f>
        <v>49900</v>
      </c>
      <c r="BC93" s="18">
        <f>Table3[[#This Row],[R4]]*10</f>
        <v>499000</v>
      </c>
      <c r="BD93" s="20">
        <f>Table3[[#This Row],[R]]/10</f>
        <v>4.99</v>
      </c>
      <c r="BE93" s="20">
        <f>Table3[[#This Row],[R6]]/10</f>
        <v>0.499</v>
      </c>
      <c r="BF93" s="20">
        <f>Table3[[#This Row],[R7]]/10</f>
        <v>4.99E-2</v>
      </c>
      <c r="BG93" s="20">
        <f>Table3[[#This Row],[R8]]/10</f>
        <v>4.9899999999999996E-3</v>
      </c>
      <c r="BH93" s="20">
        <f>Table3[[#This Row],[R9]]/10</f>
        <v>4.9899999999999999E-4</v>
      </c>
    </row>
    <row r="94" spans="2:60" ht="17.649999999999999" thickBot="1">
      <c r="AY94" s="52">
        <v>51.1</v>
      </c>
      <c r="AZ94" s="19">
        <f>Table3[[#This Row],[R]]*10</f>
        <v>511</v>
      </c>
      <c r="BA94" s="18">
        <f>Table3[[#This Row],[R2]]*10</f>
        <v>5110</v>
      </c>
      <c r="BB94" s="18">
        <f>Table3[[#This Row],[R3]]*10</f>
        <v>51100</v>
      </c>
      <c r="BC94" s="18">
        <f>Table3[[#This Row],[R4]]*10</f>
        <v>511000</v>
      </c>
      <c r="BD94" s="20">
        <f>Table3[[#This Row],[R]]/10</f>
        <v>5.1100000000000003</v>
      </c>
      <c r="BE94" s="20">
        <f>Table3[[#This Row],[R6]]/10</f>
        <v>0.51100000000000001</v>
      </c>
      <c r="BF94" s="20">
        <f>Table3[[#This Row],[R7]]/10</f>
        <v>5.11E-2</v>
      </c>
      <c r="BG94" s="20">
        <f>Table3[[#This Row],[R8]]/10</f>
        <v>5.11E-3</v>
      </c>
      <c r="BH94" s="20">
        <f>Table3[[#This Row],[R9]]/10</f>
        <v>5.1099999999999995E-4</v>
      </c>
    </row>
    <row r="95" spans="2:60" ht="17.649999999999999" thickBot="1">
      <c r="AY95" s="52">
        <v>52.3</v>
      </c>
      <c r="AZ95" s="19">
        <f>Table3[[#This Row],[R]]*10</f>
        <v>523</v>
      </c>
      <c r="BA95" s="18">
        <f>Table3[[#This Row],[R2]]*10</f>
        <v>5230</v>
      </c>
      <c r="BB95" s="18">
        <f>Table3[[#This Row],[R3]]*10</f>
        <v>52300</v>
      </c>
      <c r="BC95" s="18">
        <f>Table3[[#This Row],[R4]]*10</f>
        <v>523000</v>
      </c>
      <c r="BD95" s="20">
        <f>Table3[[#This Row],[R]]/10</f>
        <v>5.2299999999999995</v>
      </c>
      <c r="BE95" s="20">
        <f>Table3[[#This Row],[R6]]/10</f>
        <v>0.52299999999999991</v>
      </c>
      <c r="BF95" s="20">
        <f>Table3[[#This Row],[R7]]/10</f>
        <v>5.2299999999999992E-2</v>
      </c>
      <c r="BG95" s="20">
        <f>Table3[[#This Row],[R8]]/10</f>
        <v>5.2299999999999994E-3</v>
      </c>
      <c r="BH95" s="20">
        <f>Table3[[#This Row],[R9]]/10</f>
        <v>5.2299999999999992E-4</v>
      </c>
    </row>
    <row r="96" spans="2:60" ht="17.649999999999999" thickBot="1">
      <c r="AY96" s="52">
        <v>53.6</v>
      </c>
      <c r="AZ96" s="19">
        <f>Table3[[#This Row],[R]]*10</f>
        <v>536</v>
      </c>
      <c r="BA96" s="18">
        <f>Table3[[#This Row],[R2]]*10</f>
        <v>5360</v>
      </c>
      <c r="BB96" s="18">
        <f>Table3[[#This Row],[R3]]*10</f>
        <v>53600</v>
      </c>
      <c r="BC96" s="18">
        <f>Table3[[#This Row],[R4]]*10</f>
        <v>536000</v>
      </c>
      <c r="BD96" s="20">
        <f>Table3[[#This Row],[R]]/10</f>
        <v>5.36</v>
      </c>
      <c r="BE96" s="20">
        <f>Table3[[#This Row],[R6]]/10</f>
        <v>0.53600000000000003</v>
      </c>
      <c r="BF96" s="20">
        <f>Table3[[#This Row],[R7]]/10</f>
        <v>5.3600000000000002E-2</v>
      </c>
      <c r="BG96" s="20">
        <f>Table3[[#This Row],[R8]]/10</f>
        <v>5.3600000000000002E-3</v>
      </c>
      <c r="BH96" s="20">
        <f>Table3[[#This Row],[R9]]/10</f>
        <v>5.3600000000000002E-4</v>
      </c>
    </row>
    <row r="97" spans="51:60" ht="17.649999999999999" thickBot="1">
      <c r="AY97" s="59">
        <v>54.9</v>
      </c>
      <c r="AZ97" s="19">
        <f>Table3[[#This Row],[R]]*10</f>
        <v>549</v>
      </c>
      <c r="BA97" s="18">
        <f>Table3[[#This Row],[R2]]*10</f>
        <v>5490</v>
      </c>
      <c r="BB97" s="18">
        <f>Table3[[#This Row],[R3]]*10</f>
        <v>54900</v>
      </c>
      <c r="BC97" s="18">
        <f>Table3[[#This Row],[R4]]*10</f>
        <v>549000</v>
      </c>
      <c r="BD97" s="20">
        <f>Table3[[#This Row],[R]]/10</f>
        <v>5.49</v>
      </c>
      <c r="BE97" s="20">
        <f>Table3[[#This Row],[R6]]/10</f>
        <v>0.54900000000000004</v>
      </c>
      <c r="BF97" s="20">
        <f>Table3[[#This Row],[R7]]/10</f>
        <v>5.4900000000000004E-2</v>
      </c>
      <c r="BG97" s="20">
        <f>Table3[[#This Row],[R8]]/10</f>
        <v>5.4900000000000001E-3</v>
      </c>
      <c r="BH97" s="20">
        <f>Table3[[#This Row],[R9]]/10</f>
        <v>5.4900000000000001E-4</v>
      </c>
    </row>
    <row r="98" spans="51:60" ht="17.649999999999999" thickBot="1">
      <c r="AY98" s="54">
        <v>56.2</v>
      </c>
      <c r="AZ98" s="19">
        <f>Table3[[#This Row],[R]]*10</f>
        <v>562</v>
      </c>
      <c r="BA98" s="18">
        <f>Table3[[#This Row],[R2]]*10</f>
        <v>5620</v>
      </c>
      <c r="BB98" s="18">
        <f>Table3[[#This Row],[R3]]*10</f>
        <v>56200</v>
      </c>
      <c r="BC98" s="18">
        <f>Table3[[#This Row],[R4]]*10</f>
        <v>562000</v>
      </c>
      <c r="BD98" s="20">
        <f>Table3[[#This Row],[R]]/10</f>
        <v>5.62</v>
      </c>
      <c r="BE98" s="20">
        <f>Table3[[#This Row],[R6]]/10</f>
        <v>0.56200000000000006</v>
      </c>
      <c r="BF98" s="20">
        <f>Table3[[#This Row],[R7]]/10</f>
        <v>5.6200000000000007E-2</v>
      </c>
      <c r="BG98" s="20">
        <f>Table3[[#This Row],[R8]]/10</f>
        <v>5.6200000000000009E-3</v>
      </c>
      <c r="BH98" s="20">
        <f>Table3[[#This Row],[R9]]/10</f>
        <v>5.6200000000000011E-4</v>
      </c>
    </row>
    <row r="99" spans="51:60" ht="17.649999999999999" thickBot="1">
      <c r="AY99" s="52">
        <v>57.6</v>
      </c>
      <c r="AZ99" s="19">
        <f>Table3[[#This Row],[R]]*10</f>
        <v>576</v>
      </c>
      <c r="BA99" s="18">
        <f>Table3[[#This Row],[R2]]*10</f>
        <v>5760</v>
      </c>
      <c r="BB99" s="18">
        <f>Table3[[#This Row],[R3]]*10</f>
        <v>57600</v>
      </c>
      <c r="BC99" s="18">
        <f>Table3[[#This Row],[R4]]*10</f>
        <v>576000</v>
      </c>
      <c r="BD99" s="20">
        <f>Table3[[#This Row],[R]]/10</f>
        <v>5.76</v>
      </c>
      <c r="BE99" s="20">
        <f>Table3[[#This Row],[R6]]/10</f>
        <v>0.57599999999999996</v>
      </c>
      <c r="BF99" s="20">
        <f>Table3[[#This Row],[R7]]/10</f>
        <v>5.7599999999999998E-2</v>
      </c>
      <c r="BG99" s="20">
        <f>Table3[[#This Row],[R8]]/10</f>
        <v>5.7599999999999995E-3</v>
      </c>
      <c r="BH99" s="20">
        <f>Table3[[#This Row],[R9]]/10</f>
        <v>5.7599999999999991E-4</v>
      </c>
    </row>
    <row r="100" spans="51:60" ht="17.649999999999999" thickBot="1">
      <c r="AY100" s="52">
        <v>59</v>
      </c>
      <c r="AZ100" s="19">
        <f>Table3[[#This Row],[R]]*10</f>
        <v>590</v>
      </c>
      <c r="BA100" s="18">
        <f>Table3[[#This Row],[R2]]*10</f>
        <v>5900</v>
      </c>
      <c r="BB100" s="18">
        <f>Table3[[#This Row],[R3]]*10</f>
        <v>59000</v>
      </c>
      <c r="BC100" s="18">
        <f>Table3[[#This Row],[R4]]*10</f>
        <v>590000</v>
      </c>
      <c r="BD100" s="20">
        <f>Table3[[#This Row],[R]]/10</f>
        <v>5.9</v>
      </c>
      <c r="BE100" s="20">
        <f>Table3[[#This Row],[R6]]/10</f>
        <v>0.59000000000000008</v>
      </c>
      <c r="BF100" s="20">
        <f>Table3[[#This Row],[R7]]/10</f>
        <v>5.9000000000000011E-2</v>
      </c>
      <c r="BG100" s="20">
        <f>Table3[[#This Row],[R8]]/10</f>
        <v>5.9000000000000007E-3</v>
      </c>
      <c r="BH100" s="20">
        <f>Table3[[#This Row],[R9]]/10</f>
        <v>5.9000000000000003E-4</v>
      </c>
    </row>
    <row r="101" spans="51:60" ht="17.649999999999999" thickBot="1">
      <c r="AY101" s="52">
        <v>60.4</v>
      </c>
      <c r="AZ101" s="19">
        <f>Table3[[#This Row],[R]]*10</f>
        <v>604</v>
      </c>
      <c r="BA101" s="18">
        <f>Table3[[#This Row],[R2]]*10</f>
        <v>6040</v>
      </c>
      <c r="BB101" s="18">
        <f>Table3[[#This Row],[R3]]*10</f>
        <v>60400</v>
      </c>
      <c r="BC101" s="18">
        <f>Table3[[#This Row],[R4]]*10</f>
        <v>604000</v>
      </c>
      <c r="BD101" s="20">
        <f>Table3[[#This Row],[R]]/10</f>
        <v>6.04</v>
      </c>
      <c r="BE101" s="20">
        <f>Table3[[#This Row],[R6]]/10</f>
        <v>0.60399999999999998</v>
      </c>
      <c r="BF101" s="20">
        <f>Table3[[#This Row],[R7]]/10</f>
        <v>6.0399999999999995E-2</v>
      </c>
      <c r="BG101" s="20">
        <f>Table3[[#This Row],[R8]]/10</f>
        <v>6.0399999999999994E-3</v>
      </c>
      <c r="BH101" s="20">
        <f>Table3[[#This Row],[R9]]/10</f>
        <v>6.0399999999999994E-4</v>
      </c>
    </row>
    <row r="102" spans="51:60" ht="17.649999999999999" thickBot="1">
      <c r="AY102" s="52">
        <v>61.9</v>
      </c>
      <c r="AZ102" s="19">
        <f>Table3[[#This Row],[R]]*10</f>
        <v>619</v>
      </c>
      <c r="BA102" s="18">
        <f>Table3[[#This Row],[R2]]*10</f>
        <v>6190</v>
      </c>
      <c r="BB102" s="18">
        <f>Table3[[#This Row],[R3]]*10</f>
        <v>61900</v>
      </c>
      <c r="BC102" s="18">
        <f>Table3[[#This Row],[R4]]*10</f>
        <v>619000</v>
      </c>
      <c r="BD102" s="20">
        <f>Table3[[#This Row],[R]]/10</f>
        <v>6.1899999999999995</v>
      </c>
      <c r="BE102" s="20">
        <f>Table3[[#This Row],[R6]]/10</f>
        <v>0.61899999999999999</v>
      </c>
      <c r="BF102" s="20">
        <f>Table3[[#This Row],[R7]]/10</f>
        <v>6.1899999999999997E-2</v>
      </c>
      <c r="BG102" s="20">
        <f>Table3[[#This Row],[R8]]/10</f>
        <v>6.1899999999999993E-3</v>
      </c>
      <c r="BH102" s="20">
        <f>Table3[[#This Row],[R9]]/10</f>
        <v>6.1899999999999998E-4</v>
      </c>
    </row>
    <row r="103" spans="51:60" ht="17.649999999999999" thickBot="1">
      <c r="AY103" s="52">
        <v>63.4</v>
      </c>
      <c r="AZ103" s="19">
        <f>Table3[[#This Row],[R]]*10</f>
        <v>634</v>
      </c>
      <c r="BA103" s="18">
        <f>Table3[[#This Row],[R2]]*10</f>
        <v>6340</v>
      </c>
      <c r="BB103" s="18">
        <f>Table3[[#This Row],[R3]]*10</f>
        <v>63400</v>
      </c>
      <c r="BC103" s="18">
        <f>Table3[[#This Row],[R4]]*10</f>
        <v>634000</v>
      </c>
      <c r="BD103" s="20">
        <f>Table3[[#This Row],[R]]/10</f>
        <v>6.34</v>
      </c>
      <c r="BE103" s="20">
        <f>Table3[[#This Row],[R6]]/10</f>
        <v>0.63400000000000001</v>
      </c>
      <c r="BF103" s="20">
        <f>Table3[[#This Row],[R7]]/10</f>
        <v>6.3399999999999998E-2</v>
      </c>
      <c r="BG103" s="20">
        <f>Table3[[#This Row],[R8]]/10</f>
        <v>6.3400000000000001E-3</v>
      </c>
      <c r="BH103" s="20">
        <f>Table3[[#This Row],[R9]]/10</f>
        <v>6.3400000000000001E-4</v>
      </c>
    </row>
    <row r="104" spans="51:60" ht="17.649999999999999" thickBot="1">
      <c r="AY104" s="52">
        <v>64.900000000000006</v>
      </c>
      <c r="AZ104" s="19">
        <f>Table3[[#This Row],[R]]*10</f>
        <v>649</v>
      </c>
      <c r="BA104" s="18">
        <f>Table3[[#This Row],[R2]]*10</f>
        <v>6490</v>
      </c>
      <c r="BB104" s="18">
        <f>Table3[[#This Row],[R3]]*10</f>
        <v>64900</v>
      </c>
      <c r="BC104" s="18">
        <f>Table3[[#This Row],[R4]]*10</f>
        <v>649000</v>
      </c>
      <c r="BD104" s="20">
        <f>Table3[[#This Row],[R]]/10</f>
        <v>6.49</v>
      </c>
      <c r="BE104" s="20">
        <f>Table3[[#This Row],[R6]]/10</f>
        <v>0.64900000000000002</v>
      </c>
      <c r="BF104" s="20">
        <f>Table3[[#This Row],[R7]]/10</f>
        <v>6.4899999999999999E-2</v>
      </c>
      <c r="BG104" s="20">
        <f>Table3[[#This Row],[R8]]/10</f>
        <v>6.4900000000000001E-3</v>
      </c>
      <c r="BH104" s="20">
        <f>Table3[[#This Row],[R9]]/10</f>
        <v>6.4900000000000005E-4</v>
      </c>
    </row>
    <row r="105" spans="51:60" ht="17.649999999999999" thickBot="1">
      <c r="AY105" s="59">
        <v>66.5</v>
      </c>
      <c r="AZ105" s="19">
        <f>Table3[[#This Row],[R]]*10</f>
        <v>665</v>
      </c>
      <c r="BA105" s="18">
        <f>Table3[[#This Row],[R2]]*10</f>
        <v>6650</v>
      </c>
      <c r="BB105" s="18">
        <f>Table3[[#This Row],[R3]]*10</f>
        <v>66500</v>
      </c>
      <c r="BC105" s="18">
        <f>Table3[[#This Row],[R4]]*10</f>
        <v>665000</v>
      </c>
      <c r="BD105" s="20">
        <f>Table3[[#This Row],[R]]/10</f>
        <v>6.65</v>
      </c>
      <c r="BE105" s="20">
        <f>Table3[[#This Row],[R6]]/10</f>
        <v>0.66500000000000004</v>
      </c>
      <c r="BF105" s="20">
        <f>Table3[[#This Row],[R7]]/10</f>
        <v>6.6500000000000004E-2</v>
      </c>
      <c r="BG105" s="20">
        <f>Table3[[#This Row],[R8]]/10</f>
        <v>6.6500000000000005E-3</v>
      </c>
      <c r="BH105" s="20">
        <f>Table3[[#This Row],[R9]]/10</f>
        <v>6.6500000000000001E-4</v>
      </c>
    </row>
    <row r="106" spans="51:60" ht="17.649999999999999" thickBot="1">
      <c r="AY106" s="54">
        <v>68.099999999999994</v>
      </c>
      <c r="AZ106" s="19">
        <f>Table3[[#This Row],[R]]*10</f>
        <v>681</v>
      </c>
      <c r="BA106" s="18">
        <f>Table3[[#This Row],[R2]]*10</f>
        <v>6810</v>
      </c>
      <c r="BB106" s="18">
        <f>Table3[[#This Row],[R3]]*10</f>
        <v>68100</v>
      </c>
      <c r="BC106" s="18">
        <f>Table3[[#This Row],[R4]]*10</f>
        <v>681000</v>
      </c>
      <c r="BD106" s="20">
        <f>Table3[[#This Row],[R]]/10</f>
        <v>6.81</v>
      </c>
      <c r="BE106" s="20">
        <f>Table3[[#This Row],[R6]]/10</f>
        <v>0.68099999999999994</v>
      </c>
      <c r="BF106" s="20">
        <f>Table3[[#This Row],[R7]]/10</f>
        <v>6.8099999999999994E-2</v>
      </c>
      <c r="BG106" s="20">
        <f>Table3[[#This Row],[R8]]/10</f>
        <v>6.8099999999999992E-3</v>
      </c>
      <c r="BH106" s="20">
        <f>Table3[[#This Row],[R9]]/10</f>
        <v>6.8099999999999996E-4</v>
      </c>
    </row>
    <row r="107" spans="51:60" ht="17.649999999999999" thickBot="1">
      <c r="AY107" s="52">
        <v>69.8</v>
      </c>
      <c r="AZ107" s="19">
        <f>Table3[[#This Row],[R]]*10</f>
        <v>698</v>
      </c>
      <c r="BA107" s="18">
        <f>Table3[[#This Row],[R2]]*10</f>
        <v>6980</v>
      </c>
      <c r="BB107" s="18">
        <f>Table3[[#This Row],[R3]]*10</f>
        <v>69800</v>
      </c>
      <c r="BC107" s="18">
        <f>Table3[[#This Row],[R4]]*10</f>
        <v>698000</v>
      </c>
      <c r="BD107" s="20">
        <f>Table3[[#This Row],[R]]/10</f>
        <v>6.9799999999999995</v>
      </c>
      <c r="BE107" s="20">
        <f>Table3[[#This Row],[R6]]/10</f>
        <v>0.69799999999999995</v>
      </c>
      <c r="BF107" s="20">
        <f>Table3[[#This Row],[R7]]/10</f>
        <v>6.9800000000000001E-2</v>
      </c>
      <c r="BG107" s="20">
        <f>Table3[[#This Row],[R8]]/10</f>
        <v>6.9800000000000001E-3</v>
      </c>
      <c r="BH107" s="20">
        <f>Table3[[#This Row],[R9]]/10</f>
        <v>6.9800000000000005E-4</v>
      </c>
    </row>
    <row r="108" spans="51:60" ht="17.649999999999999" thickBot="1">
      <c r="AY108" s="52">
        <v>71.5</v>
      </c>
      <c r="AZ108" s="19">
        <f>Table3[[#This Row],[R]]*10</f>
        <v>715</v>
      </c>
      <c r="BA108" s="18">
        <f>Table3[[#This Row],[R2]]*10</f>
        <v>7150</v>
      </c>
      <c r="BB108" s="18">
        <f>Table3[[#This Row],[R3]]*10</f>
        <v>71500</v>
      </c>
      <c r="BC108" s="18">
        <f>Table3[[#This Row],[R4]]*10</f>
        <v>715000</v>
      </c>
      <c r="BD108" s="20">
        <f>Table3[[#This Row],[R]]/10</f>
        <v>7.15</v>
      </c>
      <c r="BE108" s="20">
        <f>Table3[[#This Row],[R6]]/10</f>
        <v>0.71500000000000008</v>
      </c>
      <c r="BF108" s="20">
        <f>Table3[[#This Row],[R7]]/10</f>
        <v>7.1500000000000008E-2</v>
      </c>
      <c r="BG108" s="20">
        <f>Table3[[#This Row],[R8]]/10</f>
        <v>7.150000000000001E-3</v>
      </c>
      <c r="BH108" s="20">
        <f>Table3[[#This Row],[R9]]/10</f>
        <v>7.1500000000000014E-4</v>
      </c>
    </row>
    <row r="109" spans="51:60" ht="17.649999999999999" thickBot="1">
      <c r="AY109" s="52">
        <v>73.2</v>
      </c>
      <c r="AZ109" s="19">
        <f>Table3[[#This Row],[R]]*10</f>
        <v>732</v>
      </c>
      <c r="BA109" s="18">
        <f>Table3[[#This Row],[R2]]*10</f>
        <v>7320</v>
      </c>
      <c r="BB109" s="18">
        <f>Table3[[#This Row],[R3]]*10</f>
        <v>73200</v>
      </c>
      <c r="BC109" s="18">
        <f>Table3[[#This Row],[R4]]*10</f>
        <v>732000</v>
      </c>
      <c r="BD109" s="20">
        <f>Table3[[#This Row],[R]]/10</f>
        <v>7.32</v>
      </c>
      <c r="BE109" s="20">
        <f>Table3[[#This Row],[R6]]/10</f>
        <v>0.73199999999999998</v>
      </c>
      <c r="BF109" s="20">
        <f>Table3[[#This Row],[R7]]/10</f>
        <v>7.3200000000000001E-2</v>
      </c>
      <c r="BG109" s="20">
        <f>Table3[[#This Row],[R8]]/10</f>
        <v>7.3200000000000001E-3</v>
      </c>
      <c r="BH109" s="20">
        <f>Table3[[#This Row],[R9]]/10</f>
        <v>7.3200000000000001E-4</v>
      </c>
    </row>
    <row r="110" spans="51:60" ht="17.649999999999999" thickBot="1">
      <c r="AY110" s="52">
        <v>75</v>
      </c>
      <c r="AZ110" s="19">
        <f>Table3[[#This Row],[R]]*10</f>
        <v>750</v>
      </c>
      <c r="BA110" s="18">
        <f>Table3[[#This Row],[R2]]*10</f>
        <v>7500</v>
      </c>
      <c r="BB110" s="18">
        <f>Table3[[#This Row],[R3]]*10</f>
        <v>75000</v>
      </c>
      <c r="BC110" s="18">
        <f>Table3[[#This Row],[R4]]*10</f>
        <v>750000</v>
      </c>
      <c r="BD110" s="20">
        <f>Table3[[#This Row],[R]]/10</f>
        <v>7.5</v>
      </c>
      <c r="BE110" s="20">
        <f>Table3[[#This Row],[R6]]/10</f>
        <v>0.75</v>
      </c>
      <c r="BF110" s="20">
        <f>Table3[[#This Row],[R7]]/10</f>
        <v>7.4999999999999997E-2</v>
      </c>
      <c r="BG110" s="20">
        <f>Table3[[#This Row],[R8]]/10</f>
        <v>7.4999999999999997E-3</v>
      </c>
      <c r="BH110" s="20">
        <f>Table3[[#This Row],[R9]]/10</f>
        <v>7.5000000000000002E-4</v>
      </c>
    </row>
    <row r="111" spans="51:60" ht="17.649999999999999" thickBot="1">
      <c r="AY111" s="52">
        <v>76.8</v>
      </c>
      <c r="AZ111" s="19">
        <f>Table3[[#This Row],[R]]*10</f>
        <v>768</v>
      </c>
      <c r="BA111" s="18">
        <f>Table3[[#This Row],[R2]]*10</f>
        <v>7680</v>
      </c>
      <c r="BB111" s="18">
        <f>Table3[[#This Row],[R3]]*10</f>
        <v>76800</v>
      </c>
      <c r="BC111" s="18">
        <f>Table3[[#This Row],[R4]]*10</f>
        <v>768000</v>
      </c>
      <c r="BD111" s="20">
        <f>Table3[[#This Row],[R]]/10</f>
        <v>7.68</v>
      </c>
      <c r="BE111" s="20">
        <f>Table3[[#This Row],[R6]]/10</f>
        <v>0.76800000000000002</v>
      </c>
      <c r="BF111" s="20">
        <f>Table3[[#This Row],[R7]]/10</f>
        <v>7.6800000000000007E-2</v>
      </c>
      <c r="BG111" s="20">
        <f>Table3[[#This Row],[R8]]/10</f>
        <v>7.6800000000000011E-3</v>
      </c>
      <c r="BH111" s="20">
        <f>Table3[[#This Row],[R9]]/10</f>
        <v>7.6800000000000013E-4</v>
      </c>
    </row>
    <row r="112" spans="51:60" ht="17.649999999999999" thickBot="1">
      <c r="AY112" s="52">
        <v>78.7</v>
      </c>
      <c r="AZ112" s="19">
        <f>Table3[[#This Row],[R]]*10</f>
        <v>787</v>
      </c>
      <c r="BA112" s="18">
        <f>Table3[[#This Row],[R2]]*10</f>
        <v>7870</v>
      </c>
      <c r="BB112" s="18">
        <f>Table3[[#This Row],[R3]]*10</f>
        <v>78700</v>
      </c>
      <c r="BC112" s="18">
        <f>Table3[[#This Row],[R4]]*10</f>
        <v>787000</v>
      </c>
      <c r="BD112" s="20">
        <f>Table3[[#This Row],[R]]/10</f>
        <v>7.87</v>
      </c>
      <c r="BE112" s="20">
        <f>Table3[[#This Row],[R6]]/10</f>
        <v>0.78700000000000003</v>
      </c>
      <c r="BF112" s="20">
        <f>Table3[[#This Row],[R7]]/10</f>
        <v>7.8700000000000006E-2</v>
      </c>
      <c r="BG112" s="20">
        <f>Table3[[#This Row],[R8]]/10</f>
        <v>7.8700000000000003E-3</v>
      </c>
      <c r="BH112" s="20">
        <f>Table3[[#This Row],[R9]]/10</f>
        <v>7.8700000000000005E-4</v>
      </c>
    </row>
    <row r="113" spans="51:60" ht="17.649999999999999" thickBot="1">
      <c r="AY113" s="59">
        <v>80.599999999999994</v>
      </c>
      <c r="AZ113" s="19">
        <f>Table3[[#This Row],[R]]*10</f>
        <v>806</v>
      </c>
      <c r="BA113" s="18">
        <f>Table3[[#This Row],[R2]]*10</f>
        <v>8060</v>
      </c>
      <c r="BB113" s="18">
        <f>Table3[[#This Row],[R3]]*10</f>
        <v>80600</v>
      </c>
      <c r="BC113" s="18">
        <f>Table3[[#This Row],[R4]]*10</f>
        <v>806000</v>
      </c>
      <c r="BD113" s="20">
        <f>Table3[[#This Row],[R]]/10</f>
        <v>8.0599999999999987</v>
      </c>
      <c r="BE113" s="20">
        <f>Table3[[#This Row],[R6]]/10</f>
        <v>0.80599999999999983</v>
      </c>
      <c r="BF113" s="20">
        <f>Table3[[#This Row],[R7]]/10</f>
        <v>8.0599999999999977E-2</v>
      </c>
      <c r="BG113" s="20">
        <f>Table3[[#This Row],[R8]]/10</f>
        <v>8.0599999999999977E-3</v>
      </c>
      <c r="BH113" s="20">
        <f>Table3[[#This Row],[R9]]/10</f>
        <v>8.0599999999999975E-4</v>
      </c>
    </row>
    <row r="114" spans="51:60" ht="17.649999999999999" thickBot="1">
      <c r="AY114" s="55">
        <v>82.5</v>
      </c>
      <c r="AZ114" s="19">
        <f>Table3[[#This Row],[R]]*10</f>
        <v>825</v>
      </c>
      <c r="BA114" s="18">
        <f>Table3[[#This Row],[R2]]*10</f>
        <v>8250</v>
      </c>
      <c r="BB114" s="18">
        <f>Table3[[#This Row],[R3]]*10</f>
        <v>82500</v>
      </c>
      <c r="BC114" s="18">
        <f>Table3[[#This Row],[R4]]*10</f>
        <v>825000</v>
      </c>
      <c r="BD114" s="20">
        <f>Table3[[#This Row],[R]]/10</f>
        <v>8.25</v>
      </c>
      <c r="BE114" s="20">
        <f>Table3[[#This Row],[R6]]/10</f>
        <v>0.82499999999999996</v>
      </c>
      <c r="BF114" s="20">
        <f>Table3[[#This Row],[R7]]/10</f>
        <v>8.249999999999999E-2</v>
      </c>
      <c r="BG114" s="20">
        <f>Table3[[#This Row],[R8]]/10</f>
        <v>8.2499999999999987E-3</v>
      </c>
      <c r="BH114" s="20">
        <f>Table3[[#This Row],[R9]]/10</f>
        <v>8.2499999999999989E-4</v>
      </c>
    </row>
    <row r="115" spans="51:60" ht="17.649999999999999" thickBot="1">
      <c r="AY115" s="57">
        <v>84.5</v>
      </c>
      <c r="AZ115" s="19">
        <f>Table3[[#This Row],[R]]*10</f>
        <v>845</v>
      </c>
      <c r="BA115" s="18">
        <f>Table3[[#This Row],[R2]]*10</f>
        <v>8450</v>
      </c>
      <c r="BB115" s="18">
        <f>Table3[[#This Row],[R3]]*10</f>
        <v>84500</v>
      </c>
      <c r="BC115" s="18">
        <f>Table3[[#This Row],[R4]]*10</f>
        <v>845000</v>
      </c>
      <c r="BD115" s="20">
        <f>Table3[[#This Row],[R]]/10</f>
        <v>8.4499999999999993</v>
      </c>
      <c r="BE115" s="20">
        <f>Table3[[#This Row],[R6]]/10</f>
        <v>0.84499999999999997</v>
      </c>
      <c r="BF115" s="20">
        <f>Table3[[#This Row],[R7]]/10</f>
        <v>8.4499999999999992E-2</v>
      </c>
      <c r="BG115" s="20">
        <f>Table3[[#This Row],[R8]]/10</f>
        <v>8.4499999999999992E-3</v>
      </c>
      <c r="BH115" s="20">
        <f>Table3[[#This Row],[R9]]/10</f>
        <v>8.4499999999999994E-4</v>
      </c>
    </row>
    <row r="116" spans="51:60" ht="17.649999999999999" thickBot="1">
      <c r="AY116" s="57">
        <v>86.6</v>
      </c>
      <c r="AZ116" s="19">
        <f>Table3[[#This Row],[R]]*10</f>
        <v>866</v>
      </c>
      <c r="BA116" s="18">
        <f>Table3[[#This Row],[R2]]*10</f>
        <v>8660</v>
      </c>
      <c r="BB116" s="18">
        <f>Table3[[#This Row],[R3]]*10</f>
        <v>86600</v>
      </c>
      <c r="BC116" s="18">
        <f>Table3[[#This Row],[R4]]*10</f>
        <v>866000</v>
      </c>
      <c r="BD116" s="20">
        <f>Table3[[#This Row],[R]]/10</f>
        <v>8.66</v>
      </c>
      <c r="BE116" s="20">
        <f>Table3[[#This Row],[R6]]/10</f>
        <v>0.86599999999999999</v>
      </c>
      <c r="BF116" s="20">
        <f>Table3[[#This Row],[R7]]/10</f>
        <v>8.6599999999999996E-2</v>
      </c>
      <c r="BG116" s="20">
        <f>Table3[[#This Row],[R8]]/10</f>
        <v>8.6599999999999993E-3</v>
      </c>
      <c r="BH116" s="20">
        <f>Table3[[#This Row],[R9]]/10</f>
        <v>8.6599999999999991E-4</v>
      </c>
    </row>
    <row r="117" spans="51:60" ht="17.649999999999999" thickBot="1">
      <c r="AY117" s="57">
        <v>88.7</v>
      </c>
      <c r="AZ117" s="19">
        <f>Table3[[#This Row],[R]]*10</f>
        <v>887</v>
      </c>
      <c r="BA117" s="18">
        <f>Table3[[#This Row],[R2]]*10</f>
        <v>8870</v>
      </c>
      <c r="BB117" s="18">
        <f>Table3[[#This Row],[R3]]*10</f>
        <v>88700</v>
      </c>
      <c r="BC117" s="18">
        <f>Table3[[#This Row],[R4]]*10</f>
        <v>887000</v>
      </c>
      <c r="BD117" s="20">
        <f>Table3[[#This Row],[R]]/10</f>
        <v>8.870000000000001</v>
      </c>
      <c r="BE117" s="20">
        <f>Table3[[#This Row],[R6]]/10</f>
        <v>0.88700000000000012</v>
      </c>
      <c r="BF117" s="20">
        <f>Table3[[#This Row],[R7]]/10</f>
        <v>8.8700000000000015E-2</v>
      </c>
      <c r="BG117" s="20">
        <f>Table3[[#This Row],[R8]]/10</f>
        <v>8.8700000000000011E-3</v>
      </c>
      <c r="BH117" s="20">
        <f>Table3[[#This Row],[R9]]/10</f>
        <v>8.8700000000000009E-4</v>
      </c>
    </row>
    <row r="118" spans="51:60" ht="17.649999999999999" thickBot="1">
      <c r="AY118" s="57">
        <v>90.9</v>
      </c>
      <c r="AZ118" s="19">
        <f>Table3[[#This Row],[R]]*10</f>
        <v>909</v>
      </c>
      <c r="BA118" s="18">
        <f>Table3[[#This Row],[R2]]*10</f>
        <v>9090</v>
      </c>
      <c r="BB118" s="18">
        <f>Table3[[#This Row],[R3]]*10</f>
        <v>90900</v>
      </c>
      <c r="BC118" s="18">
        <f>Table3[[#This Row],[R4]]*10</f>
        <v>909000</v>
      </c>
      <c r="BD118" s="20">
        <f>Table3[[#This Row],[R]]/10</f>
        <v>9.09</v>
      </c>
      <c r="BE118" s="20">
        <f>Table3[[#This Row],[R6]]/10</f>
        <v>0.90900000000000003</v>
      </c>
      <c r="BF118" s="20">
        <f>Table3[[#This Row],[R7]]/10</f>
        <v>9.0900000000000009E-2</v>
      </c>
      <c r="BG118" s="20">
        <f>Table3[[#This Row],[R8]]/10</f>
        <v>9.0900000000000009E-3</v>
      </c>
      <c r="BH118" s="20">
        <f>Table3[[#This Row],[R9]]/10</f>
        <v>9.0900000000000009E-4</v>
      </c>
    </row>
    <row r="119" spans="51:60" ht="17.649999999999999" thickBot="1">
      <c r="AY119" s="57">
        <v>93.1</v>
      </c>
      <c r="AZ119" s="19">
        <f>Table3[[#This Row],[R]]*10</f>
        <v>931</v>
      </c>
      <c r="BA119" s="18">
        <f>Table3[[#This Row],[R2]]*10</f>
        <v>9310</v>
      </c>
      <c r="BB119" s="18">
        <f>Table3[[#This Row],[R3]]*10</f>
        <v>93100</v>
      </c>
      <c r="BC119" s="18">
        <f>Table3[[#This Row],[R4]]*10</f>
        <v>931000</v>
      </c>
      <c r="BD119" s="20">
        <f>Table3[[#This Row],[R]]/10</f>
        <v>9.3099999999999987</v>
      </c>
      <c r="BE119" s="20">
        <f>Table3[[#This Row],[R6]]/10</f>
        <v>0.93099999999999983</v>
      </c>
      <c r="BF119" s="20">
        <f>Table3[[#This Row],[R7]]/10</f>
        <v>9.3099999999999988E-2</v>
      </c>
      <c r="BG119" s="20">
        <f>Table3[[#This Row],[R8]]/10</f>
        <v>9.3099999999999988E-3</v>
      </c>
      <c r="BH119" s="20">
        <f>Table3[[#This Row],[R9]]/10</f>
        <v>9.3099999999999986E-4</v>
      </c>
    </row>
    <row r="120" spans="51:60" ht="17.649999999999999" thickBot="1">
      <c r="AY120" s="57">
        <v>95.3</v>
      </c>
      <c r="AZ120" s="19">
        <f>Table3[[#This Row],[R]]*10</f>
        <v>953</v>
      </c>
      <c r="BA120" s="18">
        <f>Table3[[#This Row],[R2]]*10</f>
        <v>9530</v>
      </c>
      <c r="BB120" s="18">
        <f>Table3[[#This Row],[R3]]*10</f>
        <v>95300</v>
      </c>
      <c r="BC120" s="18">
        <f>Table3[[#This Row],[R4]]*10</f>
        <v>953000</v>
      </c>
      <c r="BD120" s="20">
        <f>Table3[[#This Row],[R]]/10</f>
        <v>9.5299999999999994</v>
      </c>
      <c r="BE120" s="20">
        <f>Table3[[#This Row],[R6]]/10</f>
        <v>0.95299999999999996</v>
      </c>
      <c r="BF120" s="20">
        <f>Table3[[#This Row],[R7]]/10</f>
        <v>9.5299999999999996E-2</v>
      </c>
      <c r="BG120" s="20">
        <f>Table3[[#This Row],[R8]]/10</f>
        <v>9.5300000000000003E-3</v>
      </c>
      <c r="BH120" s="20">
        <f>Table3[[#This Row],[R9]]/10</f>
        <v>9.5300000000000007E-4</v>
      </c>
    </row>
    <row r="121" spans="51:60" ht="17.649999999999999" thickBot="1">
      <c r="AY121" s="60">
        <v>97.6</v>
      </c>
      <c r="AZ121" s="19">
        <f>Table3[[#This Row],[R]]*10</f>
        <v>976</v>
      </c>
      <c r="BA121" s="18">
        <f>Table3[[#This Row],[R2]]*10</f>
        <v>9760</v>
      </c>
      <c r="BB121" s="18">
        <f>Table3[[#This Row],[R3]]*10</f>
        <v>97600</v>
      </c>
      <c r="BC121" s="18">
        <f>Table3[[#This Row],[R4]]*10</f>
        <v>976000</v>
      </c>
      <c r="BD121" s="20">
        <f>Table3[[#This Row],[R]]/10</f>
        <v>9.76</v>
      </c>
      <c r="BE121" s="20">
        <f>Table3[[#This Row],[R6]]/10</f>
        <v>0.97599999999999998</v>
      </c>
      <c r="BF121" s="20">
        <f>Table3[[#This Row],[R7]]/10</f>
        <v>9.7599999999999992E-2</v>
      </c>
      <c r="BG121" s="20">
        <f>Table3[[#This Row],[R8]]/10</f>
        <v>9.7599999999999996E-3</v>
      </c>
      <c r="BH121" s="20">
        <f>Table3[[#This Row],[R9]]/10</f>
        <v>9.7599999999999998E-4</v>
      </c>
    </row>
  </sheetData>
  <sheetProtection algorithmName="SHA-512" hashValue="dVQ0oAm/AlGOnOgsEGrhfVkABceNVy64KHSEVKuySSGbeWje5F2LVhxu5MHmUmEMN7ydetZpz5Xk88O3cWXrjg==" saltValue="ky3q+3MuK5NUN/V0tilAGg==" spinCount="100000" sheet="1" selectLockedCells="1"/>
  <protectedRanges>
    <protectedRange sqref="M57:M63 L58:L63 L65" name="Range1_1_1"/>
  </protectedRanges>
  <mergeCells count="216">
    <mergeCell ref="G25:L26"/>
    <mergeCell ref="N59:N60"/>
    <mergeCell ref="O59:O60"/>
    <mergeCell ref="N48:O48"/>
    <mergeCell ref="N49:N50"/>
    <mergeCell ref="O49:O50"/>
    <mergeCell ref="N51:N52"/>
    <mergeCell ref="O51:O52"/>
    <mergeCell ref="N53:N54"/>
    <mergeCell ref="O53:O54"/>
    <mergeCell ref="N55:N56"/>
    <mergeCell ref="O55:O56"/>
    <mergeCell ref="N57:N58"/>
    <mergeCell ref="O57:O58"/>
    <mergeCell ref="D68:E68"/>
    <mergeCell ref="D69:E70"/>
    <mergeCell ref="F74:G74"/>
    <mergeCell ref="F75:G75"/>
    <mergeCell ref="F76:G76"/>
    <mergeCell ref="D73:D74"/>
    <mergeCell ref="J63:K64"/>
    <mergeCell ref="L63:L64"/>
    <mergeCell ref="H77:I77"/>
    <mergeCell ref="H84:I84"/>
    <mergeCell ref="B66:L67"/>
    <mergeCell ref="F83:G83"/>
    <mergeCell ref="F84:G84"/>
    <mergeCell ref="J68:L68"/>
    <mergeCell ref="J69:L70"/>
    <mergeCell ref="J71:K71"/>
    <mergeCell ref="I45:J45"/>
    <mergeCell ref="J48:L48"/>
    <mergeCell ref="F68:I68"/>
    <mergeCell ref="F69:I70"/>
    <mergeCell ref="B69:C70"/>
    <mergeCell ref="B78:D78"/>
    <mergeCell ref="B68:C68"/>
    <mergeCell ref="F77:G77"/>
    <mergeCell ref="F82:G82"/>
    <mergeCell ref="J79:K79"/>
    <mergeCell ref="J80:K80"/>
    <mergeCell ref="J81:K81"/>
    <mergeCell ref="H79:I79"/>
    <mergeCell ref="D71:D72"/>
    <mergeCell ref="H80:I80"/>
    <mergeCell ref="H81:I81"/>
    <mergeCell ref="J49:K50"/>
    <mergeCell ref="J83:K83"/>
    <mergeCell ref="J84:K84"/>
    <mergeCell ref="L61:L62"/>
    <mergeCell ref="F79:G79"/>
    <mergeCell ref="F80:G80"/>
    <mergeCell ref="F81:G81"/>
    <mergeCell ref="H74:I74"/>
    <mergeCell ref="H75:I75"/>
    <mergeCell ref="H76:I76"/>
    <mergeCell ref="J72:K72"/>
    <mergeCell ref="J73:K73"/>
    <mergeCell ref="J74:K74"/>
    <mergeCell ref="J75:K75"/>
    <mergeCell ref="J76:K76"/>
    <mergeCell ref="F71:G71"/>
    <mergeCell ref="H71:I71"/>
    <mergeCell ref="F72:G72"/>
    <mergeCell ref="H72:I72"/>
    <mergeCell ref="F73:G73"/>
    <mergeCell ref="H73:I73"/>
    <mergeCell ref="F78:G78"/>
    <mergeCell ref="H78:I78"/>
    <mergeCell ref="H82:I82"/>
    <mergeCell ref="H83:I83"/>
    <mergeCell ref="K43:L43"/>
    <mergeCell ref="K44:L44"/>
    <mergeCell ref="I41:J41"/>
    <mergeCell ref="I42:J42"/>
    <mergeCell ref="I43:J43"/>
    <mergeCell ref="I44:J44"/>
    <mergeCell ref="I40:J40"/>
    <mergeCell ref="J78:K78"/>
    <mergeCell ref="J82:K82"/>
    <mergeCell ref="K45:L45"/>
    <mergeCell ref="J51:K52"/>
    <mergeCell ref="L49:L50"/>
    <mergeCell ref="L51:L52"/>
    <mergeCell ref="J77:K77"/>
    <mergeCell ref="J53:K54"/>
    <mergeCell ref="L53:L54"/>
    <mergeCell ref="J55:K56"/>
    <mergeCell ref="L55:L56"/>
    <mergeCell ref="J57:K58"/>
    <mergeCell ref="L57:L58"/>
    <mergeCell ref="J61:K62"/>
    <mergeCell ref="J59:K60"/>
    <mergeCell ref="L59:L60"/>
    <mergeCell ref="G31:H31"/>
    <mergeCell ref="G32:H32"/>
    <mergeCell ref="G33:H33"/>
    <mergeCell ref="G34:H34"/>
    <mergeCell ref="G35:H35"/>
    <mergeCell ref="G36:H36"/>
    <mergeCell ref="K40:L40"/>
    <mergeCell ref="K41:L41"/>
    <mergeCell ref="K42:L42"/>
    <mergeCell ref="G42:H42"/>
    <mergeCell ref="G11:J11"/>
    <mergeCell ref="G12:J12"/>
    <mergeCell ref="G13:J13"/>
    <mergeCell ref="G14:J14"/>
    <mergeCell ref="G15:J15"/>
    <mergeCell ref="K10:L10"/>
    <mergeCell ref="N13:O13"/>
    <mergeCell ref="K16:L16"/>
    <mergeCell ref="G18:L18"/>
    <mergeCell ref="G16:J16"/>
    <mergeCell ref="N5:O5"/>
    <mergeCell ref="G6:L6"/>
    <mergeCell ref="K7:L7"/>
    <mergeCell ref="K8:L8"/>
    <mergeCell ref="K9:L9"/>
    <mergeCell ref="G7:J7"/>
    <mergeCell ref="G8:J8"/>
    <mergeCell ref="G9:J9"/>
    <mergeCell ref="G10:J10"/>
    <mergeCell ref="B34:D34"/>
    <mergeCell ref="B35:D35"/>
    <mergeCell ref="B36:D36"/>
    <mergeCell ref="B37:D37"/>
    <mergeCell ref="B38:D38"/>
    <mergeCell ref="B39:D39"/>
    <mergeCell ref="K13:L13"/>
    <mergeCell ref="K14:L14"/>
    <mergeCell ref="K15:L15"/>
    <mergeCell ref="K19:L19"/>
    <mergeCell ref="K20:L20"/>
    <mergeCell ref="K21:L21"/>
    <mergeCell ref="I36:J36"/>
    <mergeCell ref="I37:J37"/>
    <mergeCell ref="I38:J38"/>
    <mergeCell ref="I39:J39"/>
    <mergeCell ref="K22:L22"/>
    <mergeCell ref="K23:L23"/>
    <mergeCell ref="K24:L24"/>
    <mergeCell ref="K31:L31"/>
    <mergeCell ref="K32:L32"/>
    <mergeCell ref="K33:L33"/>
    <mergeCell ref="K34:L34"/>
    <mergeCell ref="G21:J21"/>
    <mergeCell ref="G43:H43"/>
    <mergeCell ref="G44:H44"/>
    <mergeCell ref="G45:H45"/>
    <mergeCell ref="G37:H37"/>
    <mergeCell ref="G38:H38"/>
    <mergeCell ref="G39:H39"/>
    <mergeCell ref="B41:D41"/>
    <mergeCell ref="E41:F41"/>
    <mergeCell ref="E42:F42"/>
    <mergeCell ref="E43:F43"/>
    <mergeCell ref="E44:F44"/>
    <mergeCell ref="E45:F45"/>
    <mergeCell ref="G40:H40"/>
    <mergeCell ref="A1:T3"/>
    <mergeCell ref="A4:AC4"/>
    <mergeCell ref="N19:R19"/>
    <mergeCell ref="N6:O6"/>
    <mergeCell ref="AR35:AS35"/>
    <mergeCell ref="N30:Q30"/>
    <mergeCell ref="B30:L30"/>
    <mergeCell ref="B31:F31"/>
    <mergeCell ref="AL29:AM29"/>
    <mergeCell ref="AL30:AM30"/>
    <mergeCell ref="N21:R21"/>
    <mergeCell ref="AL20:AM20"/>
    <mergeCell ref="AL17:AM17"/>
    <mergeCell ref="AD4:AX4"/>
    <mergeCell ref="AW8:AX8"/>
    <mergeCell ref="AO8:AP8"/>
    <mergeCell ref="I35:J35"/>
    <mergeCell ref="K35:L35"/>
    <mergeCell ref="B32:F32"/>
    <mergeCell ref="G22:J22"/>
    <mergeCell ref="G24:J24"/>
    <mergeCell ref="E33:F33"/>
    <mergeCell ref="E34:F34"/>
    <mergeCell ref="B33:D33"/>
    <mergeCell ref="E35:F35"/>
    <mergeCell ref="E36:F36"/>
    <mergeCell ref="E37:F37"/>
    <mergeCell ref="E38:F38"/>
    <mergeCell ref="E39:F39"/>
    <mergeCell ref="J46:L47"/>
    <mergeCell ref="P7:T8"/>
    <mergeCell ref="P9:T10"/>
    <mergeCell ref="N20:Q20"/>
    <mergeCell ref="N22:R23"/>
    <mergeCell ref="K36:L36"/>
    <mergeCell ref="K37:L37"/>
    <mergeCell ref="K38:L38"/>
    <mergeCell ref="K39:L39"/>
    <mergeCell ref="I32:J32"/>
    <mergeCell ref="I33:J33"/>
    <mergeCell ref="I34:J34"/>
    <mergeCell ref="I31:J31"/>
    <mergeCell ref="K11:L11"/>
    <mergeCell ref="K12:L12"/>
    <mergeCell ref="B40:D40"/>
    <mergeCell ref="E40:F40"/>
    <mergeCell ref="G41:H41"/>
    <mergeCell ref="AR8:AU8"/>
    <mergeCell ref="AR9:AS9"/>
    <mergeCell ref="AL8:AM8"/>
    <mergeCell ref="AT9:AU9"/>
    <mergeCell ref="AO20:AP20"/>
    <mergeCell ref="AO26:AP26"/>
    <mergeCell ref="AR25:AS25"/>
    <mergeCell ref="AR40:AS40"/>
    <mergeCell ref="AR30:AS30"/>
  </mergeCells>
  <phoneticPr fontId="18"/>
  <conditionalFormatting sqref="G40 E40 F47:I47 E42:E45 K42:K45 G42:G45 I42:I45 F46:J46 M42:M47">
    <cfRule type="containsBlanks" dxfId="44" priority="118">
      <formula>LEN(TRIM(E40))=0</formula>
    </cfRule>
  </conditionalFormatting>
  <conditionalFormatting sqref="E34:E39">
    <cfRule type="containsBlanks" dxfId="43" priority="125">
      <formula>LEN(TRIM(E34))=0</formula>
    </cfRule>
  </conditionalFormatting>
  <conditionalFormatting sqref="E34">
    <cfRule type="beginsWith" dxfId="42" priority="115" operator="beginsWith" text=" Please">
      <formula>LEFT(E34,LEN(" Please"))=" Please"</formula>
    </cfRule>
  </conditionalFormatting>
  <conditionalFormatting sqref="G34">
    <cfRule type="containsBlanks" dxfId="41" priority="107">
      <formula>LEN(TRIM(G34))=0</formula>
    </cfRule>
    <cfRule type="beginsWith" dxfId="40" priority="114" operator="beginsWith" text="e in">
      <formula>LEFT(G34,LEN("e in"))="e in"</formula>
    </cfRule>
  </conditionalFormatting>
  <conditionalFormatting sqref="T31 I32 M32 K32">
    <cfRule type="containsText" dxfId="39" priority="110" operator="containsText" text="Please">
      <formula>NOT(ISERROR(SEARCH("Please",I31)))</formula>
    </cfRule>
  </conditionalFormatting>
  <conditionalFormatting sqref="G35:G39">
    <cfRule type="containsBlanks" dxfId="38" priority="109">
      <formula>LEN(TRIM(G35))=0</formula>
    </cfRule>
  </conditionalFormatting>
  <conditionalFormatting sqref="S26 N19">
    <cfRule type="notContainsBlanks" dxfId="37" priority="213">
      <formula>LEN(TRIM(N19))&gt;0</formula>
    </cfRule>
  </conditionalFormatting>
  <conditionalFormatting sqref="G31">
    <cfRule type="containsBlanks" dxfId="36" priority="94">
      <formula>LEN(TRIM(G31))=0</formula>
    </cfRule>
  </conditionalFormatting>
  <conditionalFormatting sqref="G31">
    <cfRule type="containsBlanks" dxfId="35" priority="93">
      <formula>LEN(TRIM(G31))=0</formula>
    </cfRule>
  </conditionalFormatting>
  <conditionalFormatting sqref="R26:S26">
    <cfRule type="notContainsBlanks" dxfId="34" priority="82">
      <formula>LEN(TRIM(R26))&gt;0</formula>
    </cfRule>
  </conditionalFormatting>
  <conditionalFormatting sqref="N21">
    <cfRule type="notContainsBlanks" dxfId="33" priority="220">
      <formula>LEN(TRIM(N21))&gt;0</formula>
    </cfRule>
  </conditionalFormatting>
  <conditionalFormatting sqref="G32">
    <cfRule type="containsBlanks" dxfId="32" priority="36">
      <formula>LEN(TRIM(G32))=0</formula>
    </cfRule>
  </conditionalFormatting>
  <conditionalFormatting sqref="G32">
    <cfRule type="containsBlanks" dxfId="31" priority="35">
      <formula>LEN(TRIM(G32))=0</formula>
    </cfRule>
  </conditionalFormatting>
  <conditionalFormatting sqref="M31 K31">
    <cfRule type="containsBlanks" dxfId="30" priority="172">
      <formula>LEN(TRIM(K31))=0</formula>
    </cfRule>
    <cfRule type="cellIs" dxfId="29" priority="173" operator="between">
      <formula>$G$31</formula>
      <formula>$AL$30</formula>
    </cfRule>
    <cfRule type="cellIs" dxfId="28" priority="174" operator="between">
      <formula>0</formula>
      <formula>$G$31</formula>
    </cfRule>
    <cfRule type="cellIs" dxfId="27" priority="175" operator="greaterThan">
      <formula>$AL$30</formula>
    </cfRule>
  </conditionalFormatting>
  <conditionalFormatting sqref="E73">
    <cfRule type="containsBlanks" dxfId="26" priority="34">
      <formula>LEN(TRIM(E73))=0</formula>
    </cfRule>
  </conditionalFormatting>
  <conditionalFormatting sqref="E71">
    <cfRule type="containsBlanks" dxfId="25" priority="33">
      <formula>LEN(TRIM(E71))=0</formula>
    </cfRule>
  </conditionalFormatting>
  <conditionalFormatting sqref="L49">
    <cfRule type="containsBlanks" dxfId="24" priority="32">
      <formula>LEN(TRIM(L49))=0</formula>
    </cfRule>
  </conditionalFormatting>
  <conditionalFormatting sqref="L53">
    <cfRule type="containsBlanks" dxfId="23" priority="31">
      <formula>LEN(TRIM(L53))=0</formula>
    </cfRule>
  </conditionalFormatting>
  <conditionalFormatting sqref="L51">
    <cfRule type="containsBlanks" dxfId="22" priority="30">
      <formula>LEN(TRIM(L51))=0</formula>
    </cfRule>
  </conditionalFormatting>
  <conditionalFormatting sqref="L55">
    <cfRule type="containsBlanks" dxfId="21" priority="29">
      <formula>LEN(TRIM(L55))=0</formula>
    </cfRule>
  </conditionalFormatting>
  <conditionalFormatting sqref="L57">
    <cfRule type="containsBlanks" dxfId="20" priority="28">
      <formula>LEN(TRIM(L57))=0</formula>
    </cfRule>
  </conditionalFormatting>
  <conditionalFormatting sqref="M24 K24">
    <cfRule type="expression" dxfId="19" priority="178">
      <formula>K12&gt;K20</formula>
    </cfRule>
  </conditionalFormatting>
  <conditionalFormatting sqref="O10:O11">
    <cfRule type="expression" dxfId="18" priority="194">
      <formula>$K$31&gt;$AL$30</formula>
    </cfRule>
  </conditionalFormatting>
  <conditionalFormatting sqref="K21">
    <cfRule type="expression" dxfId="17" priority="204">
      <formula>$K$31&gt;$K$21</formula>
    </cfRule>
    <cfRule type="containsBlanks" dxfId="16" priority="205">
      <formula>LEN(TRIM(K21))=0</formula>
    </cfRule>
  </conditionalFormatting>
  <conditionalFormatting sqref="K22 AI20">
    <cfRule type="expression" dxfId="15" priority="209">
      <formula>$K$22&lt;$K$9</formula>
    </cfRule>
  </conditionalFormatting>
  <conditionalFormatting sqref="N48 P48">
    <cfRule type="containsText" dxfId="14" priority="22" operator="containsText" text="&quot;Select Differential Configuration&quot;">
      <formula>NOT(ISERROR(SEARCH("""Select Differential Configuration""",N48)))</formula>
    </cfRule>
    <cfRule type="cellIs" dxfId="13" priority="23" operator="equal">
      <formula>"""Select Differential Configuration"""</formula>
    </cfRule>
    <cfRule type="cellIs" dxfId="12" priority="24" operator="equal">
      <formula>"K&amp;&lt;&gt;""Differential"""</formula>
    </cfRule>
    <cfRule type="expression" priority="25">
      <formula>"F(K7&lt;&gt;""Differential"",""Select Differential Configuration"","""")"</formula>
    </cfRule>
  </conditionalFormatting>
  <conditionalFormatting sqref="N22 S21:U22">
    <cfRule type="notContainsBlanks" dxfId="11" priority="11">
      <formula>LEN(TRIM(N21))&gt;0</formula>
    </cfRule>
  </conditionalFormatting>
  <conditionalFormatting sqref="P7:T8">
    <cfRule type="notContainsBlanks" dxfId="10" priority="12">
      <formula>LEN(TRIM(P7))&gt;0</formula>
    </cfRule>
  </conditionalFormatting>
  <conditionalFormatting sqref="P9:T10">
    <cfRule type="notContainsBlanks" dxfId="9" priority="10">
      <formula>LEN(TRIM(P9))&gt;0</formula>
    </cfRule>
  </conditionalFormatting>
  <conditionalFormatting sqref="N20:Q20">
    <cfRule type="notContainsBlanks" dxfId="8" priority="214">
      <formula>LEN(TRIM(N20))&gt;0</formula>
    </cfRule>
  </conditionalFormatting>
  <conditionalFormatting sqref="L49:L52">
    <cfRule type="cellIs" dxfId="7" priority="5" operator="greaterThan">
      <formula>-1</formula>
    </cfRule>
  </conditionalFormatting>
  <conditionalFormatting sqref="J46:L47">
    <cfRule type="containsText" dxfId="6" priority="2" operator="containsText" text="This">
      <formula>NOT(ISERROR(SEARCH("This",J46)))</formula>
    </cfRule>
  </conditionalFormatting>
  <dataValidations count="2">
    <dataValidation type="list" allowBlank="1" sqref="M7 K7" xr:uid="{CBD5C22D-4492-4728-AEDD-CAE470841E35}">
      <formula1>Configs</formula1>
    </dataValidation>
    <dataValidation type="list" errorStyle="warning" showErrorMessage="1" error="This device does not support the selected configuration. Please select another device." sqref="M8" xr:uid="{7D1DBF67-6AEC-4C99-A17F-D04EC873276A}">
      <formula1>IF($K$7="Single-Ended",$AG$7:$AG$34,$AF$7:$AF$34)</formula1>
    </dataValidation>
  </dataValidations>
  <hyperlinks>
    <hyperlink ref="N5" location="'Table of Contents'!B17" display="Table of Contents" xr:uid="{00000000-0004-0000-0200-000000000000}"/>
  </hyperlinks>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13" operator="containsText" id="{5EADEB68-092A-4A4D-BA7C-07B319B8BDDE}">
            <xm:f>NOT(ISERROR(SEARCH(+FS,N21)))</xm:f>
            <xm:f>+FS</xm:f>
            <x14:dxf>
              <font>
                <color auto="1"/>
              </font>
              <fill>
                <patternFill>
                  <bgColor theme="9" tint="0.39994506668294322"/>
                </patternFill>
              </fill>
            </x14:dxf>
          </x14:cfRule>
          <xm:sqref>N22 S21:U22</xm:sqref>
        </x14:conditionalFormatting>
        <x14:conditionalFormatting xmlns:xm="http://schemas.microsoft.com/office/excel/2006/main">
          <x14:cfRule type="containsText" priority="221" operator="containsText" id="{C54D0DF5-7F78-49C0-B0F9-68BAEFB3D8D3}">
            <xm:f>NOT(ISERROR(SEARCH($N$22,K20)))</xm:f>
            <xm:f>$N$22</xm:f>
            <x14:dxf>
              <font>
                <color rgb="FF9C0006"/>
              </font>
              <fill>
                <patternFill>
                  <bgColor theme="0"/>
                </patternFill>
              </fill>
            </x14:dxf>
          </x14:cfRule>
          <xm:sqref>K20:L20</xm:sqref>
        </x14:conditionalFormatting>
        <x14:conditionalFormatting xmlns:xm="http://schemas.microsoft.com/office/excel/2006/main">
          <x14:cfRule type="containsText" priority="222" operator="containsText" id="{C37DA1E5-5763-49E9-8E16-48A43DF2CE8F}">
            <xm:f>NOT(ISERROR(SEARCH(#REF!,P48)))</xm:f>
            <xm:f>#REF!</xm:f>
            <x14:dxf>
              <font>
                <color theme="1"/>
              </font>
              <fill>
                <patternFill>
                  <bgColor theme="9" tint="0.39994506668294322"/>
                </patternFill>
              </fill>
            </x14:dxf>
          </x14:cfRule>
          <xm:sqref>P48</xm:sqref>
        </x14:conditionalFormatting>
        <x14:conditionalFormatting xmlns:xm="http://schemas.microsoft.com/office/excel/2006/main">
          <x14:cfRule type="cellIs" priority="3" operator="equal" id="{84D5C27E-ABA7-43D4-A529-9D571A6DDA4F}">
            <xm:f>'Device Comparison'!$C$76</xm:f>
            <x14:dxf>
              <font>
                <color rgb="FF9C0006"/>
              </font>
              <fill>
                <patternFill>
                  <bgColor rgb="FFFFC7CE"/>
                </patternFill>
              </fill>
            </x14:dxf>
          </x14:cfRule>
          <x14:cfRule type="cellIs" priority="4" operator="equal" id="{8398BA47-AC9E-4141-9DB1-EFDEF3AFABE5}">
            <xm:f>OR('Device Comparison'!$C$74, 'Device Comparison'!$C$76)</xm:f>
            <x14:dxf>
              <font>
                <color rgb="FF9C0006"/>
              </font>
              <fill>
                <patternFill>
                  <bgColor rgb="FFFFC7CE"/>
                </patternFill>
              </fill>
            </x14:dxf>
          </x14:cfRule>
          <xm:sqref>J46:L47</xm:sqref>
        </x14:conditionalFormatting>
        <x14:conditionalFormatting xmlns:xm="http://schemas.microsoft.com/office/excel/2006/main">
          <x14:cfRule type="containsText" priority="1" operator="containsText" id="{426BC031-9856-499F-821F-A13E4805B1EA}">
            <xm:f>NOT(ISERROR(SEARCH("=",J53)))</xm:f>
            <xm:f>"="</xm:f>
            <x14:dxf>
              <font>
                <color rgb="FF9C0006"/>
              </font>
            </x14:dxf>
          </x14:cfRule>
          <xm:sqref>J53:K64</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showErrorMessage="1" error="This device does not support the selected configuration. Please select another device." xr:uid="{C18FCF90-B816-4B9F-A724-87469907D53A}">
          <x14:formula1>
            <xm:f>IF($K$7="Single-Ended",'Device Comparison'!$AG$7:$AG$105,'Device Comparison'!$AF$7:$AF$105)</xm:f>
          </x14:formula1>
          <xm:sqref>K8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autoPageBreaks="0"/>
  </sheetPr>
  <dimension ref="A1:CD282"/>
  <sheetViews>
    <sheetView zoomScaleNormal="100" workbookViewId="0">
      <pane xSplit="1" topLeftCell="B1" activePane="topRight" state="frozen"/>
      <selection pane="topRight" activeCell="AT130" sqref="AT130"/>
    </sheetView>
  </sheetViews>
  <sheetFormatPr defaultColWidth="8.73046875" defaultRowHeight="14.25"/>
  <cols>
    <col min="1" max="1" width="23.46484375" style="218" customWidth="1"/>
    <col min="2" max="2" width="12.73046875" style="218" bestFit="1" customWidth="1"/>
    <col min="3" max="3" width="12.73046875" style="218" customWidth="1"/>
    <col min="4" max="4" width="13.53125" style="218" bestFit="1" customWidth="1"/>
    <col min="5" max="5" width="14.265625" style="218" bestFit="1" customWidth="1"/>
    <col min="6" max="6" width="13.265625" style="218" bestFit="1" customWidth="1"/>
    <col min="7" max="7" width="14" style="218" bestFit="1" customWidth="1"/>
    <col min="8" max="8" width="15" style="218" bestFit="1" customWidth="1"/>
    <col min="9" max="9" width="15.73046875" style="218" customWidth="1"/>
    <col min="10" max="10" width="14.73046875" style="218" bestFit="1" customWidth="1"/>
    <col min="11" max="11" width="15.46484375" style="218" bestFit="1" customWidth="1"/>
    <col min="12" max="12" width="7.46484375" style="218" bestFit="1" customWidth="1"/>
    <col min="13" max="13" width="8.19921875" style="218" bestFit="1" customWidth="1"/>
    <col min="14" max="14" width="11.796875" style="218" bestFit="1" customWidth="1"/>
    <col min="15" max="15" width="12.53125" style="218" bestFit="1" customWidth="1"/>
    <col min="16" max="16" width="20.19921875" style="218" bestFit="1" customWidth="1"/>
    <col min="17" max="17" width="20.19921875" style="218" customWidth="1"/>
    <col min="18" max="18" width="10" style="218" bestFit="1" customWidth="1"/>
    <col min="19" max="19" width="10.265625" style="218" bestFit="1" customWidth="1"/>
    <col min="20" max="20" width="17.53125" style="218" hidden="1" customWidth="1"/>
    <col min="21" max="21" width="28.265625" style="218" bestFit="1" customWidth="1"/>
    <col min="22" max="22" width="26.796875" style="218" bestFit="1" customWidth="1"/>
    <col min="23" max="23" width="6.19921875" style="218" bestFit="1" customWidth="1"/>
    <col min="24" max="24" width="11.86328125" style="218" customWidth="1"/>
    <col min="25" max="25" width="9.53125" style="218" hidden="1" customWidth="1"/>
    <col min="26" max="26" width="9.73046875" style="218" hidden="1" customWidth="1"/>
    <col min="27" max="27" width="10.46484375" style="218" hidden="1" customWidth="1"/>
    <col min="28" max="28" width="9.796875" style="218" hidden="1" customWidth="1"/>
    <col min="29" max="29" width="5.46484375" style="218" hidden="1" customWidth="1"/>
    <col min="30" max="30" width="6.19921875" style="218" hidden="1" customWidth="1"/>
    <col min="31" max="31" width="5.53125" style="218" hidden="1" customWidth="1"/>
    <col min="32" max="32" width="23.265625" style="218" hidden="1" customWidth="1"/>
    <col min="33" max="34" width="14.46484375" style="218" hidden="1" customWidth="1"/>
    <col min="35" max="37" width="9.19921875" style="218" customWidth="1"/>
    <col min="38" max="38" width="12.73046875" style="218" hidden="1" customWidth="1"/>
    <col min="39" max="39" width="9.19921875" style="218" customWidth="1"/>
    <col min="40" max="78" width="8.73046875" style="218"/>
    <col min="79" max="79" width="22.19921875" style="218" bestFit="1" customWidth="1"/>
    <col min="80" max="81" width="107.53125" style="218" customWidth="1"/>
    <col min="82" max="82" width="123.53125" style="218" customWidth="1"/>
    <col min="83" max="16384" width="8.73046875" style="218"/>
  </cols>
  <sheetData>
    <row r="1" spans="1:50" ht="15" customHeight="1">
      <c r="A1" s="896"/>
      <c r="B1" s="896"/>
      <c r="C1" s="896"/>
      <c r="D1" s="896"/>
      <c r="E1" s="896"/>
      <c r="F1" s="896"/>
      <c r="G1" s="896"/>
      <c r="H1" s="896"/>
      <c r="I1" s="896"/>
      <c r="J1" s="896"/>
      <c r="K1" s="896"/>
      <c r="L1" s="896"/>
      <c r="M1" s="896"/>
    </row>
    <row r="2" spans="1:50" ht="15" customHeight="1">
      <c r="A2" s="896"/>
      <c r="B2" s="896"/>
      <c r="C2" s="896"/>
      <c r="D2" s="896"/>
      <c r="E2" s="896"/>
      <c r="F2" s="896"/>
      <c r="G2" s="896"/>
      <c r="H2" s="896"/>
      <c r="I2" s="896"/>
      <c r="J2" s="896"/>
      <c r="K2" s="896"/>
      <c r="L2" s="896"/>
      <c r="M2" s="896"/>
    </row>
    <row r="3" spans="1:50" ht="15" customHeight="1">
      <c r="A3" s="896"/>
      <c r="B3" s="896"/>
      <c r="C3" s="896"/>
      <c r="D3" s="896"/>
      <c r="E3" s="896"/>
      <c r="F3" s="896"/>
      <c r="G3" s="896"/>
      <c r="H3" s="896"/>
      <c r="I3" s="896"/>
      <c r="J3" s="896"/>
      <c r="K3" s="896"/>
      <c r="L3" s="896"/>
      <c r="M3" s="896"/>
    </row>
    <row r="4" spans="1:50" ht="15" customHeight="1">
      <c r="A4" s="535"/>
      <c r="B4" s="535"/>
      <c r="C4" s="535"/>
      <c r="D4" s="535"/>
      <c r="E4" s="535"/>
      <c r="F4" s="535"/>
      <c r="G4" s="535"/>
      <c r="H4" s="535"/>
      <c r="I4" s="535"/>
      <c r="J4" s="535"/>
      <c r="K4" s="535"/>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35"/>
      <c r="AK4" s="535"/>
      <c r="AL4" s="535"/>
      <c r="AM4" s="535"/>
      <c r="AN4" s="535"/>
      <c r="AO4" s="535"/>
      <c r="AP4" s="535"/>
      <c r="AQ4" s="535"/>
      <c r="AR4" s="535"/>
      <c r="AS4" s="535"/>
      <c r="AT4" s="535"/>
      <c r="AU4" s="535"/>
      <c r="AV4" s="535"/>
      <c r="AW4" s="535"/>
      <c r="AX4" s="535"/>
    </row>
    <row r="5" spans="1:50" ht="15" customHeight="1">
      <c r="B5" s="362" t="s">
        <v>184</v>
      </c>
      <c r="C5" s="362"/>
      <c r="D5" s="362"/>
      <c r="E5" s="362"/>
      <c r="F5" s="362"/>
      <c r="G5" s="362"/>
      <c r="H5" s="362"/>
      <c r="I5" s="362"/>
      <c r="J5" s="363"/>
      <c r="K5" s="363"/>
      <c r="L5" s="364"/>
      <c r="M5" s="363"/>
      <c r="P5" s="358" t="s">
        <v>8</v>
      </c>
      <c r="Q5" s="358"/>
      <c r="R5" s="358"/>
      <c r="S5" s="358"/>
    </row>
    <row r="6" spans="1:50" ht="15" customHeight="1">
      <c r="A6" s="365" t="s">
        <v>17</v>
      </c>
      <c r="B6" s="366" t="s">
        <v>45</v>
      </c>
      <c r="C6" s="366" t="s">
        <v>387</v>
      </c>
      <c r="D6" s="366" t="s">
        <v>21</v>
      </c>
      <c r="E6" s="366" t="s">
        <v>20</v>
      </c>
      <c r="F6" s="366" t="s">
        <v>24</v>
      </c>
      <c r="G6" s="366" t="s">
        <v>25</v>
      </c>
      <c r="H6" s="366" t="s">
        <v>26</v>
      </c>
      <c r="I6" s="366" t="s">
        <v>29</v>
      </c>
      <c r="J6" s="367" t="s">
        <v>30</v>
      </c>
      <c r="K6" s="367" t="s">
        <v>27</v>
      </c>
      <c r="L6" s="367" t="s">
        <v>28</v>
      </c>
      <c r="M6" s="367" t="s">
        <v>31</v>
      </c>
      <c r="N6" s="367" t="s">
        <v>32</v>
      </c>
      <c r="O6" s="367" t="s">
        <v>33</v>
      </c>
      <c r="P6" s="367" t="s">
        <v>36</v>
      </c>
      <c r="Q6" s="367" t="s">
        <v>263</v>
      </c>
      <c r="R6" s="366" t="s">
        <v>76</v>
      </c>
      <c r="S6" s="366" t="s">
        <v>77</v>
      </c>
      <c r="T6" s="367" t="s">
        <v>18</v>
      </c>
      <c r="U6" s="367" t="s">
        <v>34</v>
      </c>
      <c r="V6" s="366" t="s">
        <v>95</v>
      </c>
      <c r="W6" s="366" t="s">
        <v>97</v>
      </c>
      <c r="X6" s="368" t="s">
        <v>35</v>
      </c>
      <c r="Y6" s="369" t="s">
        <v>55</v>
      </c>
      <c r="Z6" s="369" t="s">
        <v>56</v>
      </c>
      <c r="AA6" s="369" t="s">
        <v>57</v>
      </c>
      <c r="AB6" s="369" t="s">
        <v>64</v>
      </c>
      <c r="AC6" s="369" t="s">
        <v>58</v>
      </c>
      <c r="AD6" s="369" t="s">
        <v>59</v>
      </c>
      <c r="AE6" s="369" t="s">
        <v>63</v>
      </c>
      <c r="AF6" s="369" t="s">
        <v>60</v>
      </c>
      <c r="AG6" s="369" t="s">
        <v>61</v>
      </c>
      <c r="AH6" s="369" t="s">
        <v>62</v>
      </c>
    </row>
    <row r="7" spans="1:50" ht="15" hidden="1" customHeight="1">
      <c r="A7" s="370" t="s">
        <v>53</v>
      </c>
      <c r="B7" s="380">
        <v>0</v>
      </c>
      <c r="C7" s="371"/>
      <c r="D7" s="372">
        <v>0</v>
      </c>
      <c r="E7" s="372">
        <v>0</v>
      </c>
      <c r="F7" s="372">
        <v>0</v>
      </c>
      <c r="G7" s="372">
        <v>0</v>
      </c>
      <c r="H7" s="372">
        <v>0</v>
      </c>
      <c r="I7" s="372">
        <v>0</v>
      </c>
      <c r="J7" s="372">
        <v>0</v>
      </c>
      <c r="K7" s="372">
        <v>0</v>
      </c>
      <c r="L7" s="372">
        <v>0</v>
      </c>
      <c r="M7" s="372">
        <v>0</v>
      </c>
      <c r="N7" s="372">
        <v>0</v>
      </c>
      <c r="O7" s="372">
        <v>0</v>
      </c>
      <c r="P7" s="372">
        <v>0</v>
      </c>
      <c r="Q7" s="371"/>
      <c r="R7" s="447">
        <v>-40</v>
      </c>
      <c r="S7" s="447">
        <v>125</v>
      </c>
      <c r="T7" s="372" t="s">
        <v>124</v>
      </c>
      <c r="U7" s="373">
        <v>0</v>
      </c>
      <c r="V7" s="374">
        <v>0</v>
      </c>
      <c r="W7" s="390">
        <v>0</v>
      </c>
      <c r="X7" s="375">
        <v>0</v>
      </c>
      <c r="Y7" s="376">
        <f t="shared" ref="Y7:Y38" si="0">ROW()-6</f>
        <v>1</v>
      </c>
      <c r="Z7" s="376">
        <f>IF(OR($AL$107=Devices[[#This Row],[Input Type]], 0=Devices[[#This Row],[Input Type]]),Devices[[#This Row],[Row Num]], " ")</f>
        <v>1</v>
      </c>
      <c r="AA7" s="376">
        <f>IF(OR($AL$108=Devices[[#This Row],[Input Type]], 0=Devices[[#This Row],[Input Type]]),Devices[[#This Row],[Row Num]], " ")</f>
        <v>1</v>
      </c>
      <c r="AB7" s="376">
        <f>IF(0=Devices[[#This Row],[Input Type]], Devices[[#This Row],[Row Num]], " ")</f>
        <v>1</v>
      </c>
      <c r="AC7" s="377">
        <f>IFERROR(SMALL(Devices[Row Sel D], Devices[[#This Row],[Row Num]]), " ")</f>
        <v>1</v>
      </c>
      <c r="AD7" s="377">
        <f>IFERROR(SMALL(Devices[Row Sel SE], Devices[[#This Row],[Row Num]]), " ")</f>
        <v>1</v>
      </c>
      <c r="AE7" s="377">
        <f>IFERROR(SMALL(Devices[Row Sel N], Devices[[#This Row],[Row Num]]), " ")</f>
        <v>1</v>
      </c>
      <c r="AF7" s="377" t="str">
        <f>IFERROR(INDEX(Devices[Part], Devices[[#This Row],[Sel D]], 1), "")</f>
        <v>[Select Device]</v>
      </c>
      <c r="AG7" s="377" t="str">
        <f>IFERROR(INDEX(Devices[Part], Devices[[#This Row],[Sel SE]], 1), "")</f>
        <v>[Select Device]</v>
      </c>
      <c r="AH7" s="377" t="str">
        <f>IFERROR(INDEX(Devices[Part], Devices[[#This Row],[Sel N]], 1), "")</f>
        <v>[Select Device]</v>
      </c>
      <c r="AJ7" s="378"/>
    </row>
    <row r="8" spans="1:50" s="465" customFormat="1" ht="15" customHeight="1">
      <c r="A8" s="405" t="s">
        <v>464</v>
      </c>
      <c r="B8" s="380" t="s">
        <v>46</v>
      </c>
      <c r="C8" s="371" t="s">
        <v>407</v>
      </c>
      <c r="D8" s="467">
        <v>4.0000000000000002E-4</v>
      </c>
      <c r="E8" s="467">
        <v>2.5000000000000001E-3</v>
      </c>
      <c r="F8" s="468">
        <v>5</v>
      </c>
      <c r="G8" s="468">
        <v>35</v>
      </c>
      <c r="H8" s="477">
        <v>0.01</v>
      </c>
      <c r="I8" s="477">
        <v>0.2</v>
      </c>
      <c r="J8" s="469">
        <v>0.25</v>
      </c>
      <c r="K8" s="469">
        <v>3</v>
      </c>
      <c r="L8" s="467">
        <v>1.2999999999999999E-4</v>
      </c>
      <c r="M8" s="467">
        <v>4.0000000000000001E-3</v>
      </c>
      <c r="N8" s="468">
        <v>1</v>
      </c>
      <c r="O8" s="468">
        <v>3</v>
      </c>
      <c r="P8" s="470">
        <v>250</v>
      </c>
      <c r="Q8" s="476">
        <v>3.3</v>
      </c>
      <c r="R8" s="447">
        <v>-40</v>
      </c>
      <c r="S8" s="447">
        <v>125</v>
      </c>
      <c r="T8" s="471"/>
      <c r="U8" s="471">
        <v>27500</v>
      </c>
      <c r="V8" s="472">
        <v>27500</v>
      </c>
      <c r="W8" s="390">
        <v>13.2</v>
      </c>
      <c r="X8" s="473">
        <v>0</v>
      </c>
      <c r="Y8" s="377">
        <f t="shared" si="0"/>
        <v>2</v>
      </c>
      <c r="Z8" s="377">
        <f>IF(OR($AL$107=Devices[[#This Row],[Input Type]], 0=Devices[[#This Row],[Input Type]]),Devices[[#This Row],[Row Num]], " ")</f>
        <v>2</v>
      </c>
      <c r="AA8" s="377" t="str">
        <f>IF(OR($AL$108=Devices[[#This Row],[Input Type]], 0=Devices[[#This Row],[Input Type]]),Devices[[#This Row],[Row Num]], " ")</f>
        <v xml:space="preserve"> </v>
      </c>
      <c r="AB8" s="377" t="str">
        <f>IF(0=Devices[[#This Row],[Input Type]], Devices[[#This Row],[Row Num]], " ")</f>
        <v xml:space="preserve"> </v>
      </c>
      <c r="AC8" s="377">
        <f>IFERROR(SMALL(Devices[Row Sel D], Devices[[#This Row],[Row Num]]), " ")</f>
        <v>2</v>
      </c>
      <c r="AD8" s="377">
        <f>IFERROR(SMALL(Devices[Row Sel SE], Devices[[#This Row],[Row Num]]), " ")</f>
        <v>16</v>
      </c>
      <c r="AE8" s="377">
        <f>IFERROR(SMALL(Devices[Row Sel N], Devices[[#This Row],[Row Num]]), " ")</f>
        <v>84</v>
      </c>
      <c r="AF8" s="377" t="str">
        <f>IFERROR(INDEX(Devices[Part], Devices[[#This Row],[Sel D]], 1), "")</f>
        <v>AMC0100R (Vref = 3.3V)</v>
      </c>
      <c r="AG8" s="377" t="str">
        <f>IFERROR(INDEX(Devices[Part], Devices[[#This Row],[Sel SE]], 1), "")</f>
        <v>AMC0211D</v>
      </c>
      <c r="AH8" s="377">
        <f>IFERROR(INDEX(Devices[Part], Devices[[#This Row],[Sel N]], 1), "")</f>
        <v>0</v>
      </c>
      <c r="AJ8" s="378"/>
    </row>
    <row r="9" spans="1:50" s="465" customFormat="1" ht="15" customHeight="1">
      <c r="A9" s="405" t="s">
        <v>465</v>
      </c>
      <c r="B9" s="380" t="s">
        <v>46</v>
      </c>
      <c r="C9" s="371" t="s">
        <v>407</v>
      </c>
      <c r="D9" s="467">
        <v>4.0000000000000002E-4</v>
      </c>
      <c r="E9" s="467">
        <v>2.5000000000000001E-3</v>
      </c>
      <c r="F9" s="468">
        <v>5</v>
      </c>
      <c r="G9" s="468">
        <v>35</v>
      </c>
      <c r="H9" s="477">
        <v>0.01</v>
      </c>
      <c r="I9" s="477">
        <v>0.2</v>
      </c>
      <c r="J9" s="469">
        <v>0.25</v>
      </c>
      <c r="K9" s="469">
        <v>3</v>
      </c>
      <c r="L9" s="467">
        <v>1.2999999999999999E-4</v>
      </c>
      <c r="M9" s="467">
        <v>4.0000000000000001E-3</v>
      </c>
      <c r="N9" s="468">
        <v>1</v>
      </c>
      <c r="O9" s="468">
        <v>3</v>
      </c>
      <c r="P9" s="470">
        <v>250</v>
      </c>
      <c r="Q9" s="476">
        <v>5</v>
      </c>
      <c r="R9" s="447">
        <v>-40</v>
      </c>
      <c r="S9" s="447">
        <v>125</v>
      </c>
      <c r="T9" s="471"/>
      <c r="U9" s="471">
        <v>27500</v>
      </c>
      <c r="V9" s="472">
        <v>27500</v>
      </c>
      <c r="W9" s="390">
        <v>20</v>
      </c>
      <c r="X9" s="473">
        <v>0</v>
      </c>
      <c r="Y9" s="377">
        <f t="shared" si="0"/>
        <v>3</v>
      </c>
      <c r="Z9" s="377">
        <f>IF(OR($AL$107=Devices[[#This Row],[Input Type]], 0=Devices[[#This Row],[Input Type]]),Devices[[#This Row],[Row Num]], " ")</f>
        <v>3</v>
      </c>
      <c r="AA9" s="377" t="str">
        <f>IF(OR($AL$108=Devices[[#This Row],[Input Type]], 0=Devices[[#This Row],[Input Type]]),Devices[[#This Row],[Row Num]], " ")</f>
        <v xml:space="preserve"> </v>
      </c>
      <c r="AB9" s="377" t="str">
        <f>IF(0=Devices[[#This Row],[Input Type]], Devices[[#This Row],[Row Num]], " ")</f>
        <v xml:space="preserve"> </v>
      </c>
      <c r="AC9" s="377">
        <f>IFERROR(SMALL(Devices[Row Sel D], Devices[[#This Row],[Row Num]]), " ")</f>
        <v>3</v>
      </c>
      <c r="AD9" s="377">
        <f>IFERROR(SMALL(Devices[Row Sel SE], Devices[[#This Row],[Row Num]]), " ")</f>
        <v>17</v>
      </c>
      <c r="AE9" s="377">
        <f>IFERROR(SMALL(Devices[Row Sel N], Devices[[#This Row],[Row Num]]), " ")</f>
        <v>85</v>
      </c>
      <c r="AF9" s="377" t="str">
        <f>IFERROR(INDEX(Devices[Part], Devices[[#This Row],[Sel D]], 1), "")</f>
        <v>AMC0100R (Vref = 5V)</v>
      </c>
      <c r="AG9" s="377" t="str">
        <f>IFERROR(INDEX(Devices[Part], Devices[[#This Row],[Sel SE]], 1), "")</f>
        <v>AMC0211D-Q1</v>
      </c>
      <c r="AH9" s="377">
        <f>IFERROR(INDEX(Devices[Part], Devices[[#This Row],[Sel N]], 1), "")</f>
        <v>0</v>
      </c>
      <c r="AJ9" s="378"/>
    </row>
    <row r="10" spans="1:50" s="465" customFormat="1" ht="15" customHeight="1">
      <c r="A10" s="405" t="s">
        <v>423</v>
      </c>
      <c r="B10" s="380" t="s">
        <v>46</v>
      </c>
      <c r="C10" s="371" t="s">
        <v>46</v>
      </c>
      <c r="D10" s="467">
        <v>4.0000000000000002E-4</v>
      </c>
      <c r="E10" s="467">
        <v>2.5000000000000001E-3</v>
      </c>
      <c r="F10" s="468">
        <v>5</v>
      </c>
      <c r="G10" s="468">
        <v>35</v>
      </c>
      <c r="H10" s="477">
        <v>0.01</v>
      </c>
      <c r="I10" s="477">
        <v>0.2</v>
      </c>
      <c r="J10" s="469">
        <v>0.25</v>
      </c>
      <c r="K10" s="469">
        <v>2</v>
      </c>
      <c r="L10" s="467">
        <v>1.2999999999999999E-4</v>
      </c>
      <c r="M10" s="467">
        <v>4.0000000000000002E-4</v>
      </c>
      <c r="N10" s="468">
        <v>1</v>
      </c>
      <c r="O10" s="468">
        <v>3</v>
      </c>
      <c r="P10" s="470">
        <v>250</v>
      </c>
      <c r="Q10" s="476">
        <v>2.0499999999999998</v>
      </c>
      <c r="R10" s="447">
        <v>-40</v>
      </c>
      <c r="S10" s="447">
        <v>125</v>
      </c>
      <c r="T10" s="471"/>
      <c r="U10" s="471">
        <v>27500</v>
      </c>
      <c r="V10" s="472">
        <v>27500</v>
      </c>
      <c r="W10" s="390">
        <v>8.1999999999999993</v>
      </c>
      <c r="X10" s="473">
        <v>0</v>
      </c>
      <c r="Y10" s="474">
        <f t="shared" si="0"/>
        <v>4</v>
      </c>
      <c r="Z10" s="474">
        <f>IF(OR($AL$107=Devices[[#This Row],[Input Type]], 0=Devices[[#This Row],[Input Type]]),Devices[[#This Row],[Row Num]], " ")</f>
        <v>4</v>
      </c>
      <c r="AA10" s="474" t="str">
        <f>IF(OR($AL$108=Devices[[#This Row],[Input Type]], 0=Devices[[#This Row],[Input Type]]),Devices[[#This Row],[Row Num]], " ")</f>
        <v xml:space="preserve"> </v>
      </c>
      <c r="AB10" s="474" t="str">
        <f>IF(0=Devices[[#This Row],[Input Type]], Devices[[#This Row],[Row Num]], " ")</f>
        <v xml:space="preserve"> </v>
      </c>
      <c r="AC10" s="474">
        <f>IFERROR(SMALL(Devices[Row Sel D], Devices[[#This Row],[Row Num]]), " ")</f>
        <v>4</v>
      </c>
      <c r="AD10" s="474">
        <f>IFERROR(SMALL(Devices[Row Sel SE], Devices[[#This Row],[Row Num]]), " ")</f>
        <v>18</v>
      </c>
      <c r="AE10" s="474">
        <f>IFERROR(SMALL(Devices[Row Sel N], Devices[[#This Row],[Row Num]]), " ")</f>
        <v>86</v>
      </c>
      <c r="AF10" s="474" t="str">
        <f>IFERROR(INDEX(Devices[Part], Devices[[#This Row],[Sel D]], 1), "")</f>
        <v>AMC0200D</v>
      </c>
      <c r="AG10" s="474" t="str">
        <f>IFERROR(INDEX(Devices[Part], Devices[[#This Row],[Sel SE]], 1), "")</f>
        <v>AMC0211R-Q1 (Vref = 3.3V)</v>
      </c>
      <c r="AH10" s="474">
        <f>IFERROR(INDEX(Devices[Part], Devices[[#This Row],[Sel N]], 1), "")</f>
        <v>0</v>
      </c>
      <c r="AJ10" s="378"/>
    </row>
    <row r="11" spans="1:50" s="465" customFormat="1" ht="15" customHeight="1">
      <c r="A11" s="405" t="s">
        <v>425</v>
      </c>
      <c r="B11" s="380" t="s">
        <v>46</v>
      </c>
      <c r="C11" s="371" t="s">
        <v>46</v>
      </c>
      <c r="D11" s="467">
        <v>4.0000000000000002E-4</v>
      </c>
      <c r="E11" s="467">
        <v>2.5000000000000001E-3</v>
      </c>
      <c r="F11" s="468">
        <v>5</v>
      </c>
      <c r="G11" s="468">
        <v>35</v>
      </c>
      <c r="H11" s="477">
        <v>0.01</v>
      </c>
      <c r="I11" s="477">
        <v>0.2</v>
      </c>
      <c r="J11" s="469">
        <v>0.25</v>
      </c>
      <c r="K11" s="469">
        <v>2</v>
      </c>
      <c r="L11" s="467">
        <v>1.2999999999999999E-4</v>
      </c>
      <c r="M11" s="467">
        <v>4.0000000000000002E-4</v>
      </c>
      <c r="N11" s="468">
        <v>1</v>
      </c>
      <c r="O11" s="468">
        <v>3</v>
      </c>
      <c r="P11" s="470">
        <v>250</v>
      </c>
      <c r="Q11" s="476">
        <v>2.0499999999999998</v>
      </c>
      <c r="R11" s="447">
        <v>-40</v>
      </c>
      <c r="S11" s="447">
        <v>125</v>
      </c>
      <c r="T11" s="471"/>
      <c r="U11" s="471">
        <v>27500</v>
      </c>
      <c r="V11" s="472">
        <v>27500</v>
      </c>
      <c r="W11" s="390">
        <v>8.1999999999999993</v>
      </c>
      <c r="X11" s="473">
        <v>0</v>
      </c>
      <c r="Y11" s="474">
        <f t="shared" si="0"/>
        <v>5</v>
      </c>
      <c r="Z11" s="474">
        <f>IF(OR($AL$107=Devices[[#This Row],[Input Type]], 0=Devices[[#This Row],[Input Type]]),Devices[[#This Row],[Row Num]], " ")</f>
        <v>5</v>
      </c>
      <c r="AA11" s="474" t="str">
        <f>IF(OR($AL$108=Devices[[#This Row],[Input Type]], 0=Devices[[#This Row],[Input Type]]),Devices[[#This Row],[Row Num]], " ")</f>
        <v xml:space="preserve"> </v>
      </c>
      <c r="AB11" s="474" t="str">
        <f>IF(0=Devices[[#This Row],[Input Type]], Devices[[#This Row],[Row Num]], " ")</f>
        <v xml:space="preserve"> </v>
      </c>
      <c r="AC11" s="474">
        <f>IFERROR(SMALL(Devices[Row Sel D], Devices[[#This Row],[Row Num]]), " ")</f>
        <v>5</v>
      </c>
      <c r="AD11" s="474">
        <f>IFERROR(SMALL(Devices[Row Sel SE], Devices[[#This Row],[Row Num]]), " ")</f>
        <v>19</v>
      </c>
      <c r="AE11" s="474">
        <f>IFERROR(SMALL(Devices[Row Sel N], Devices[[#This Row],[Row Num]]), " ")</f>
        <v>87</v>
      </c>
      <c r="AF11" s="474" t="str">
        <f>IFERROR(INDEX(Devices[Part], Devices[[#This Row],[Sel D]], 1), "")</f>
        <v>AMC0200D-Q1</v>
      </c>
      <c r="AG11" s="474" t="str">
        <f>IFERROR(INDEX(Devices[Part], Devices[[#This Row],[Sel SE]], 1), "")</f>
        <v>AMC0211R-Q1 (Vref = 5V)</v>
      </c>
      <c r="AH11" s="474">
        <f>IFERROR(INDEX(Devices[Part], Devices[[#This Row],[Sel N]], 1), "")</f>
        <v>0</v>
      </c>
      <c r="AJ11" s="378"/>
    </row>
    <row r="12" spans="1:50" s="465" customFormat="1" ht="15" customHeight="1">
      <c r="A12" s="405" t="s">
        <v>428</v>
      </c>
      <c r="B12" s="380" t="s">
        <v>46</v>
      </c>
      <c r="C12" s="371" t="s">
        <v>407</v>
      </c>
      <c r="D12" s="467">
        <v>4.0000000000000002E-4</v>
      </c>
      <c r="E12" s="467">
        <v>2.5000000000000001E-3</v>
      </c>
      <c r="F12" s="468">
        <v>5</v>
      </c>
      <c r="G12" s="468">
        <v>35</v>
      </c>
      <c r="H12" s="477">
        <v>0.01</v>
      </c>
      <c r="I12" s="477">
        <v>0.2</v>
      </c>
      <c r="J12" s="469">
        <v>0.25</v>
      </c>
      <c r="K12" s="469">
        <v>3</v>
      </c>
      <c r="L12" s="467">
        <v>1.2999999999999999E-4</v>
      </c>
      <c r="M12" s="467">
        <v>4.0000000000000001E-3</v>
      </c>
      <c r="N12" s="468">
        <v>1</v>
      </c>
      <c r="O12" s="468">
        <v>3</v>
      </c>
      <c r="P12" s="470">
        <v>250</v>
      </c>
      <c r="Q12" s="476">
        <v>3.3</v>
      </c>
      <c r="R12" s="447">
        <v>-40</v>
      </c>
      <c r="S12" s="447">
        <v>125</v>
      </c>
      <c r="T12" s="471"/>
      <c r="U12" s="471">
        <v>27500</v>
      </c>
      <c r="V12" s="472">
        <v>27500</v>
      </c>
      <c r="W12" s="390">
        <v>13.2</v>
      </c>
      <c r="X12" s="473">
        <v>0</v>
      </c>
      <c r="Y12" s="474">
        <f t="shared" si="0"/>
        <v>6</v>
      </c>
      <c r="Z12" s="474">
        <f>IF(OR($AL$107=Devices[[#This Row],[Input Type]], 0=Devices[[#This Row],[Input Type]]),Devices[[#This Row],[Row Num]], " ")</f>
        <v>6</v>
      </c>
      <c r="AA12" s="474" t="str">
        <f>IF(OR($AL$108=Devices[[#This Row],[Input Type]], 0=Devices[[#This Row],[Input Type]]),Devices[[#This Row],[Row Num]], " ")</f>
        <v xml:space="preserve"> </v>
      </c>
      <c r="AB12" s="474" t="str">
        <f>IF(0=Devices[[#This Row],[Input Type]], Devices[[#This Row],[Row Num]], " ")</f>
        <v xml:space="preserve"> </v>
      </c>
      <c r="AC12" s="474">
        <f>IFERROR(SMALL(Devices[Row Sel D], Devices[[#This Row],[Row Num]]), " ")</f>
        <v>6</v>
      </c>
      <c r="AD12" s="474">
        <f>IFERROR(SMALL(Devices[Row Sel SE], Devices[[#This Row],[Row Num]]), " ")</f>
        <v>20</v>
      </c>
      <c r="AE12" s="474">
        <f>IFERROR(SMALL(Devices[Row Sel N], Devices[[#This Row],[Row Num]]), " ")</f>
        <v>88</v>
      </c>
      <c r="AF12" s="474" t="str">
        <f>IFERROR(INDEX(Devices[Part], Devices[[#This Row],[Sel D]], 1), "")</f>
        <v>AMC0200R (Vref = 3.3V)</v>
      </c>
      <c r="AG12" s="474" t="str">
        <f>IFERROR(INDEX(Devices[Part], Devices[[#This Row],[Sel SE]], 1), "")</f>
        <v>AMC0211S</v>
      </c>
      <c r="AH12" s="474">
        <f>IFERROR(INDEX(Devices[Part], Devices[[#This Row],[Sel N]], 1), "")</f>
        <v>0</v>
      </c>
      <c r="AJ12" s="378"/>
    </row>
    <row r="13" spans="1:50" s="465" customFormat="1" ht="15" customHeight="1">
      <c r="A13" s="405" t="s">
        <v>431</v>
      </c>
      <c r="B13" s="380" t="s">
        <v>46</v>
      </c>
      <c r="C13" s="371" t="s">
        <v>407</v>
      </c>
      <c r="D13" s="467">
        <v>4.0000000000000002E-4</v>
      </c>
      <c r="E13" s="467">
        <v>2.5000000000000001E-3</v>
      </c>
      <c r="F13" s="468">
        <v>5</v>
      </c>
      <c r="G13" s="468">
        <v>35</v>
      </c>
      <c r="H13" s="477">
        <v>0.01</v>
      </c>
      <c r="I13" s="477">
        <v>0.2</v>
      </c>
      <c r="J13" s="469">
        <v>0.25</v>
      </c>
      <c r="K13" s="469">
        <v>3</v>
      </c>
      <c r="L13" s="467">
        <v>1.2999999999999999E-4</v>
      </c>
      <c r="M13" s="467">
        <v>4.0000000000000001E-3</v>
      </c>
      <c r="N13" s="468">
        <v>1</v>
      </c>
      <c r="O13" s="468">
        <v>3</v>
      </c>
      <c r="P13" s="470">
        <v>250</v>
      </c>
      <c r="Q13" s="476">
        <v>5</v>
      </c>
      <c r="R13" s="447">
        <v>-40</v>
      </c>
      <c r="S13" s="447">
        <v>125</v>
      </c>
      <c r="T13" s="471"/>
      <c r="U13" s="471">
        <v>27500</v>
      </c>
      <c r="V13" s="472">
        <v>27500</v>
      </c>
      <c r="W13" s="390">
        <v>20</v>
      </c>
      <c r="X13" s="473">
        <v>0</v>
      </c>
      <c r="Y13" s="474">
        <f t="shared" si="0"/>
        <v>7</v>
      </c>
      <c r="Z13" s="474">
        <f>IF(OR($AL$107=Devices[[#This Row],[Input Type]], 0=Devices[[#This Row],[Input Type]]),Devices[[#This Row],[Row Num]], " ")</f>
        <v>7</v>
      </c>
      <c r="AA13" s="474" t="str">
        <f>IF(OR($AL$108=Devices[[#This Row],[Input Type]], 0=Devices[[#This Row],[Input Type]]),Devices[[#This Row],[Row Num]], " ")</f>
        <v xml:space="preserve"> </v>
      </c>
      <c r="AB13" s="474" t="str">
        <f>IF(0=Devices[[#This Row],[Input Type]], Devices[[#This Row],[Row Num]], " ")</f>
        <v xml:space="preserve"> </v>
      </c>
      <c r="AC13" s="474">
        <f>IFERROR(SMALL(Devices[Row Sel D], Devices[[#This Row],[Row Num]]), " ")</f>
        <v>7</v>
      </c>
      <c r="AD13" s="474">
        <f>IFERROR(SMALL(Devices[Row Sel SE], Devices[[#This Row],[Row Num]]), " ")</f>
        <v>21</v>
      </c>
      <c r="AE13" s="474">
        <f>IFERROR(SMALL(Devices[Row Sel N], Devices[[#This Row],[Row Num]]), " ")</f>
        <v>89</v>
      </c>
      <c r="AF13" s="474" t="str">
        <f>IFERROR(INDEX(Devices[Part], Devices[[#This Row],[Sel D]], 1), "")</f>
        <v>AMC0200R (Vref = 5V)</v>
      </c>
      <c r="AG13" s="474" t="str">
        <f>IFERROR(INDEX(Devices[Part], Devices[[#This Row],[Sel SE]], 1), "")</f>
        <v>AMC0211S-Q1</v>
      </c>
      <c r="AH13" s="474">
        <f>IFERROR(INDEX(Devices[Part], Devices[[#This Row],[Sel N]], 1), "")</f>
        <v>0</v>
      </c>
      <c r="AJ13" s="378"/>
    </row>
    <row r="14" spans="1:50" s="465" customFormat="1" ht="15" customHeight="1">
      <c r="A14" s="405" t="s">
        <v>429</v>
      </c>
      <c r="B14" s="380" t="s">
        <v>46</v>
      </c>
      <c r="C14" s="371" t="s">
        <v>407</v>
      </c>
      <c r="D14" s="467">
        <v>4.0000000000000002E-4</v>
      </c>
      <c r="E14" s="467">
        <v>2.5000000000000001E-3</v>
      </c>
      <c r="F14" s="468">
        <v>5</v>
      </c>
      <c r="G14" s="468">
        <v>35</v>
      </c>
      <c r="H14" s="477">
        <v>0.01</v>
      </c>
      <c r="I14" s="477">
        <v>0.2</v>
      </c>
      <c r="J14" s="469">
        <v>0.25</v>
      </c>
      <c r="K14" s="469">
        <v>3</v>
      </c>
      <c r="L14" s="467">
        <v>1.2999999999999999E-4</v>
      </c>
      <c r="M14" s="467">
        <v>4.0000000000000001E-3</v>
      </c>
      <c r="N14" s="468">
        <v>1</v>
      </c>
      <c r="O14" s="468">
        <v>3</v>
      </c>
      <c r="P14" s="470">
        <v>250</v>
      </c>
      <c r="Q14" s="476">
        <v>3.3</v>
      </c>
      <c r="R14" s="447">
        <v>-40</v>
      </c>
      <c r="S14" s="447">
        <v>125</v>
      </c>
      <c r="T14" s="471"/>
      <c r="U14" s="471">
        <v>27500</v>
      </c>
      <c r="V14" s="472">
        <v>27500</v>
      </c>
      <c r="W14" s="390">
        <v>13.2</v>
      </c>
      <c r="X14" s="473">
        <v>0</v>
      </c>
      <c r="Y14" s="474">
        <f t="shared" si="0"/>
        <v>8</v>
      </c>
      <c r="Z14" s="474">
        <f>IF(OR($AL$107=Devices[[#This Row],[Input Type]], 0=Devices[[#This Row],[Input Type]]),Devices[[#This Row],[Row Num]], " ")</f>
        <v>8</v>
      </c>
      <c r="AA14" s="474" t="str">
        <f>IF(OR($AL$108=Devices[[#This Row],[Input Type]], 0=Devices[[#This Row],[Input Type]]),Devices[[#This Row],[Row Num]], " ")</f>
        <v xml:space="preserve"> </v>
      </c>
      <c r="AB14" s="474" t="str">
        <f>IF(0=Devices[[#This Row],[Input Type]], Devices[[#This Row],[Row Num]], " ")</f>
        <v xml:space="preserve"> </v>
      </c>
      <c r="AC14" s="474">
        <f>IFERROR(SMALL(Devices[Row Sel D], Devices[[#This Row],[Row Num]]), " ")</f>
        <v>8</v>
      </c>
      <c r="AD14" s="474">
        <f>IFERROR(SMALL(Devices[Row Sel SE], Devices[[#This Row],[Row Num]]), " ")</f>
        <v>42</v>
      </c>
      <c r="AE14" s="474">
        <f>IFERROR(SMALL(Devices[Row Sel N], Devices[[#This Row],[Row Num]]), " ")</f>
        <v>90</v>
      </c>
      <c r="AF14" s="474" t="str">
        <f>IFERROR(INDEX(Devices[Part], Devices[[#This Row],[Sel D]], 1), "")</f>
        <v>AMC0200R-Q1 (Vref = 3.3V)</v>
      </c>
      <c r="AG14" s="474" t="str">
        <f>IFERROR(INDEX(Devices[Part], Devices[[#This Row],[Sel SE]], 1), "")</f>
        <v>AMC0311D</v>
      </c>
      <c r="AH14" s="474">
        <f>IFERROR(INDEX(Devices[Part], Devices[[#This Row],[Sel N]], 1), "")</f>
        <v>0</v>
      </c>
      <c r="AJ14" s="378"/>
    </row>
    <row r="15" spans="1:50" s="465" customFormat="1" ht="15" customHeight="1">
      <c r="A15" s="405" t="s">
        <v>432</v>
      </c>
      <c r="B15" s="380" t="s">
        <v>46</v>
      </c>
      <c r="C15" s="371" t="s">
        <v>407</v>
      </c>
      <c r="D15" s="467">
        <v>4.0000000000000002E-4</v>
      </c>
      <c r="E15" s="467">
        <v>2.5000000000000001E-3</v>
      </c>
      <c r="F15" s="468">
        <v>5</v>
      </c>
      <c r="G15" s="468">
        <v>35</v>
      </c>
      <c r="H15" s="477">
        <v>0.01</v>
      </c>
      <c r="I15" s="477">
        <v>0.2</v>
      </c>
      <c r="J15" s="469">
        <v>0.25</v>
      </c>
      <c r="K15" s="469">
        <v>3</v>
      </c>
      <c r="L15" s="467">
        <v>1.2999999999999999E-4</v>
      </c>
      <c r="M15" s="467">
        <v>4.0000000000000001E-3</v>
      </c>
      <c r="N15" s="468">
        <v>1</v>
      </c>
      <c r="O15" s="468">
        <v>3</v>
      </c>
      <c r="P15" s="470">
        <v>250</v>
      </c>
      <c r="Q15" s="476">
        <v>5</v>
      </c>
      <c r="R15" s="447">
        <v>-40</v>
      </c>
      <c r="S15" s="447">
        <v>125</v>
      </c>
      <c r="T15" s="471"/>
      <c r="U15" s="471">
        <v>27500</v>
      </c>
      <c r="V15" s="472">
        <v>27500</v>
      </c>
      <c r="W15" s="390">
        <v>20</v>
      </c>
      <c r="X15" s="473">
        <v>0</v>
      </c>
      <c r="Y15" s="474">
        <f t="shared" si="0"/>
        <v>9</v>
      </c>
      <c r="Z15" s="474">
        <f>IF(OR($AL$107=Devices[[#This Row],[Input Type]], 0=Devices[[#This Row],[Input Type]]),Devices[[#This Row],[Row Num]], " ")</f>
        <v>9</v>
      </c>
      <c r="AA15" s="474" t="str">
        <f>IF(OR($AL$108=Devices[[#This Row],[Input Type]], 0=Devices[[#This Row],[Input Type]]),Devices[[#This Row],[Row Num]], " ")</f>
        <v xml:space="preserve"> </v>
      </c>
      <c r="AB15" s="474" t="str">
        <f>IF(0=Devices[[#This Row],[Input Type]], Devices[[#This Row],[Row Num]], " ")</f>
        <v xml:space="preserve"> </v>
      </c>
      <c r="AC15" s="474">
        <f>IFERROR(SMALL(Devices[Row Sel D], Devices[[#This Row],[Row Num]]), " ")</f>
        <v>9</v>
      </c>
      <c r="AD15" s="474">
        <f>IFERROR(SMALL(Devices[Row Sel SE], Devices[[#This Row],[Row Num]]), " ")</f>
        <v>43</v>
      </c>
      <c r="AE15" s="474">
        <f>IFERROR(SMALL(Devices[Row Sel N], Devices[[#This Row],[Row Num]]), " ")</f>
        <v>91</v>
      </c>
      <c r="AF15" s="474" t="str">
        <f>IFERROR(INDEX(Devices[Part], Devices[[#This Row],[Sel D]], 1), "")</f>
        <v>AMC0200R-Q1 (Vref = 5V)</v>
      </c>
      <c r="AG15" s="474" t="str">
        <f>IFERROR(INDEX(Devices[Part], Devices[[#This Row],[Sel SE]], 1), "")</f>
        <v>AMC0311D-Q1</v>
      </c>
      <c r="AH15" s="474">
        <f>IFERROR(INDEX(Devices[Part], Devices[[#This Row],[Sel N]], 1), "")</f>
        <v>0</v>
      </c>
      <c r="AJ15" s="378"/>
    </row>
    <row r="16" spans="1:50" s="465" customFormat="1" ht="15" customHeight="1">
      <c r="A16" s="405" t="s">
        <v>443</v>
      </c>
      <c r="B16" s="380" t="s">
        <v>46</v>
      </c>
      <c r="C16" s="371" t="s">
        <v>46</v>
      </c>
      <c r="D16" s="467">
        <v>4.0000000000000002E-4</v>
      </c>
      <c r="E16" s="467">
        <v>2E-3</v>
      </c>
      <c r="F16" s="468">
        <v>5</v>
      </c>
      <c r="G16" s="468">
        <v>45</v>
      </c>
      <c r="H16" s="477">
        <v>4.0000000000000001E-3</v>
      </c>
      <c r="I16" s="477">
        <v>0.05</v>
      </c>
      <c r="J16" s="469">
        <v>0.1</v>
      </c>
      <c r="K16" s="469">
        <v>0.9</v>
      </c>
      <c r="L16" s="467">
        <v>1.2999999999999999E-4</v>
      </c>
      <c r="M16" s="467">
        <v>4.0000000000000002E-4</v>
      </c>
      <c r="N16" s="468">
        <v>1</v>
      </c>
      <c r="O16" s="468">
        <v>3</v>
      </c>
      <c r="P16" s="470">
        <v>50</v>
      </c>
      <c r="Q16" s="476">
        <v>2.0499999999999998</v>
      </c>
      <c r="R16" s="447">
        <v>-40</v>
      </c>
      <c r="S16" s="447">
        <v>125</v>
      </c>
      <c r="T16" s="471"/>
      <c r="U16" s="471">
        <v>6300</v>
      </c>
      <c r="V16" s="472">
        <v>6300</v>
      </c>
      <c r="W16" s="390">
        <v>41</v>
      </c>
      <c r="X16" s="473">
        <v>0</v>
      </c>
      <c r="Y16" s="474">
        <f t="shared" si="0"/>
        <v>10</v>
      </c>
      <c r="Z16" s="474">
        <f>IF(OR($AL$107=Devices[[#This Row],[Input Type]], 0=Devices[[#This Row],[Input Type]]),Devices[[#This Row],[Row Num]], " ")</f>
        <v>10</v>
      </c>
      <c r="AA16" s="474" t="str">
        <f>IF(OR($AL$108=Devices[[#This Row],[Input Type]], 0=Devices[[#This Row],[Input Type]]),Devices[[#This Row],[Row Num]], " ")</f>
        <v xml:space="preserve"> </v>
      </c>
      <c r="AB16" s="474" t="str">
        <f>IF(0=Devices[[#This Row],[Input Type]], Devices[[#This Row],[Row Num]], " ")</f>
        <v xml:space="preserve"> </v>
      </c>
      <c r="AC16" s="474">
        <f>IFERROR(SMALL(Devices[Row Sel D], Devices[[#This Row],[Row Num]]), " ")</f>
        <v>10</v>
      </c>
      <c r="AD16" s="474">
        <f>IFERROR(SMALL(Devices[Row Sel SE], Devices[[#This Row],[Row Num]]), " ")</f>
        <v>44</v>
      </c>
      <c r="AE16" s="474">
        <f>IFERROR(SMALL(Devices[Row Sel N], Devices[[#This Row],[Row Num]]), " ")</f>
        <v>92</v>
      </c>
      <c r="AF16" s="474" t="str">
        <f>IFERROR(INDEX(Devices[Part], Devices[[#This Row],[Sel D]], 1), "")</f>
        <v>AMC0202D</v>
      </c>
      <c r="AG16" s="474" t="str">
        <f>IFERROR(INDEX(Devices[Part], Devices[[#This Row],[Sel SE]], 1), "")</f>
        <v>AMC0311R-Q1 (Vref = 3.3V)</v>
      </c>
      <c r="AH16" s="474">
        <f>IFERROR(INDEX(Devices[Part], Devices[[#This Row],[Sel N]], 1), "")</f>
        <v>0</v>
      </c>
      <c r="AJ16" s="378"/>
    </row>
    <row r="17" spans="1:36" s="465" customFormat="1" ht="15" customHeight="1">
      <c r="A17" s="405" t="s">
        <v>444</v>
      </c>
      <c r="B17" s="380" t="s">
        <v>46</v>
      </c>
      <c r="C17" s="371" t="s">
        <v>46</v>
      </c>
      <c r="D17" s="467">
        <v>4.0000000000000002E-4</v>
      </c>
      <c r="E17" s="467">
        <v>2E-3</v>
      </c>
      <c r="F17" s="468">
        <v>5</v>
      </c>
      <c r="G17" s="468">
        <v>45</v>
      </c>
      <c r="H17" s="477">
        <v>4.0000000000000001E-3</v>
      </c>
      <c r="I17" s="477">
        <v>0.05</v>
      </c>
      <c r="J17" s="469">
        <v>0.1</v>
      </c>
      <c r="K17" s="469">
        <v>0.9</v>
      </c>
      <c r="L17" s="467">
        <v>1.2999999999999999E-4</v>
      </c>
      <c r="M17" s="467">
        <v>4.0000000000000002E-4</v>
      </c>
      <c r="N17" s="468">
        <v>1</v>
      </c>
      <c r="O17" s="468">
        <v>3</v>
      </c>
      <c r="P17" s="470">
        <v>50</v>
      </c>
      <c r="Q17" s="476">
        <v>2.0499999999999998</v>
      </c>
      <c r="R17" s="447">
        <v>-40</v>
      </c>
      <c r="S17" s="447">
        <v>125</v>
      </c>
      <c r="T17" s="471"/>
      <c r="U17" s="471">
        <v>6300</v>
      </c>
      <c r="V17" s="472">
        <v>6300</v>
      </c>
      <c r="W17" s="390">
        <v>41</v>
      </c>
      <c r="X17" s="473">
        <v>0</v>
      </c>
      <c r="Y17" s="474">
        <f t="shared" si="0"/>
        <v>11</v>
      </c>
      <c r="Z17" s="474">
        <f>IF(OR($AL$107=Devices[[#This Row],[Input Type]], 0=Devices[[#This Row],[Input Type]]),Devices[[#This Row],[Row Num]], " ")</f>
        <v>11</v>
      </c>
      <c r="AA17" s="474" t="str">
        <f>IF(OR($AL$108=Devices[[#This Row],[Input Type]], 0=Devices[[#This Row],[Input Type]]),Devices[[#This Row],[Row Num]], " ")</f>
        <v xml:space="preserve"> </v>
      </c>
      <c r="AB17" s="474" t="str">
        <f>IF(0=Devices[[#This Row],[Input Type]], Devices[[#This Row],[Row Num]], " ")</f>
        <v xml:space="preserve"> </v>
      </c>
      <c r="AC17" s="474">
        <f>IFERROR(SMALL(Devices[Row Sel D], Devices[[#This Row],[Row Num]]), " ")</f>
        <v>11</v>
      </c>
      <c r="AD17" s="474">
        <f>IFERROR(SMALL(Devices[Row Sel SE], Devices[[#This Row],[Row Num]]), " ")</f>
        <v>45</v>
      </c>
      <c r="AE17" s="474">
        <f>IFERROR(SMALL(Devices[Row Sel N], Devices[[#This Row],[Row Num]]), " ")</f>
        <v>93</v>
      </c>
      <c r="AF17" s="474" t="str">
        <f>IFERROR(INDEX(Devices[Part], Devices[[#This Row],[Sel D]], 1), "")</f>
        <v>AMC0202D-Q1</v>
      </c>
      <c r="AG17" s="474" t="str">
        <f>IFERROR(INDEX(Devices[Part], Devices[[#This Row],[Sel SE]], 1), "")</f>
        <v>AMC0311R-Q1 (Vref = 5V)</v>
      </c>
      <c r="AH17" s="474">
        <f>IFERROR(INDEX(Devices[Part], Devices[[#This Row],[Sel N]], 1), "")</f>
        <v>0</v>
      </c>
      <c r="AJ17" s="378"/>
    </row>
    <row r="18" spans="1:36" s="465" customFormat="1" ht="15" customHeight="1">
      <c r="A18" s="405" t="s">
        <v>447</v>
      </c>
      <c r="B18" s="380" t="s">
        <v>46</v>
      </c>
      <c r="C18" s="371" t="s">
        <v>407</v>
      </c>
      <c r="D18" s="467">
        <v>4.0000000000000002E-4</v>
      </c>
      <c r="E18" s="467">
        <v>2E-3</v>
      </c>
      <c r="F18" s="468">
        <v>5</v>
      </c>
      <c r="G18" s="468">
        <v>45</v>
      </c>
      <c r="H18" s="477">
        <v>4.0000000000000001E-3</v>
      </c>
      <c r="I18" s="477">
        <v>0.05</v>
      </c>
      <c r="J18" s="469">
        <v>0.15</v>
      </c>
      <c r="K18" s="469">
        <v>1</v>
      </c>
      <c r="L18" s="467">
        <v>1.3300000000000001E-4</v>
      </c>
      <c r="M18" s="467">
        <v>4.0000000000000002E-4</v>
      </c>
      <c r="N18" s="468">
        <v>1</v>
      </c>
      <c r="O18" s="468">
        <v>3</v>
      </c>
      <c r="P18" s="470">
        <v>50</v>
      </c>
      <c r="Q18" s="476">
        <v>3.3</v>
      </c>
      <c r="R18" s="447">
        <v>-40</v>
      </c>
      <c r="S18" s="447">
        <v>125</v>
      </c>
      <c r="T18" s="471"/>
      <c r="U18" s="471">
        <v>6300</v>
      </c>
      <c r="V18" s="472">
        <v>6300</v>
      </c>
      <c r="W18" s="390">
        <v>66</v>
      </c>
      <c r="X18" s="473">
        <v>0</v>
      </c>
      <c r="Y18" s="474">
        <f t="shared" si="0"/>
        <v>12</v>
      </c>
      <c r="Z18" s="474">
        <f>IF(OR($AL$107=Devices[[#This Row],[Input Type]], 0=Devices[[#This Row],[Input Type]]),Devices[[#This Row],[Row Num]], " ")</f>
        <v>12</v>
      </c>
      <c r="AA18" s="474" t="str">
        <f>IF(OR($AL$108=Devices[[#This Row],[Input Type]], 0=Devices[[#This Row],[Input Type]]),Devices[[#This Row],[Row Num]], " ")</f>
        <v xml:space="preserve"> </v>
      </c>
      <c r="AB18" s="474" t="str">
        <f>IF(0=Devices[[#This Row],[Input Type]], Devices[[#This Row],[Row Num]], " ")</f>
        <v xml:space="preserve"> </v>
      </c>
      <c r="AC18" s="474">
        <f>IFERROR(SMALL(Devices[Row Sel D], Devices[[#This Row],[Row Num]]), " ")</f>
        <v>12</v>
      </c>
      <c r="AD18" s="474">
        <f>IFERROR(SMALL(Devices[Row Sel SE], Devices[[#This Row],[Row Num]]), " ")</f>
        <v>46</v>
      </c>
      <c r="AE18" s="474">
        <f>IFERROR(SMALL(Devices[Row Sel N], Devices[[#This Row],[Row Num]]), " ")</f>
        <v>94</v>
      </c>
      <c r="AF18" s="474" t="str">
        <f>IFERROR(INDEX(Devices[Part], Devices[[#This Row],[Sel D]], 1), "")</f>
        <v>AMC0202R (Vref = 3.3V)</v>
      </c>
      <c r="AG18" s="474" t="str">
        <f>IFERROR(INDEX(Devices[Part], Devices[[#This Row],[Sel SE]], 1), "")</f>
        <v>AMC0311S</v>
      </c>
      <c r="AH18" s="474">
        <f>IFERROR(INDEX(Devices[Part], Devices[[#This Row],[Sel N]], 1), "")</f>
        <v>0</v>
      </c>
      <c r="AJ18" s="378"/>
    </row>
    <row r="19" spans="1:36" s="465" customFormat="1" ht="15" customHeight="1">
      <c r="A19" s="405" t="s">
        <v>451</v>
      </c>
      <c r="B19" s="380" t="s">
        <v>46</v>
      </c>
      <c r="C19" s="371" t="s">
        <v>407</v>
      </c>
      <c r="D19" s="467">
        <v>4.0000000000000002E-4</v>
      </c>
      <c r="E19" s="467">
        <v>2E-3</v>
      </c>
      <c r="F19" s="468">
        <v>5</v>
      </c>
      <c r="G19" s="468">
        <v>45</v>
      </c>
      <c r="H19" s="477">
        <v>4.0000000000000001E-3</v>
      </c>
      <c r="I19" s="477">
        <v>0.05</v>
      </c>
      <c r="J19" s="469">
        <v>0.15</v>
      </c>
      <c r="K19" s="469">
        <v>1</v>
      </c>
      <c r="L19" s="467">
        <v>1.3300000000000001E-4</v>
      </c>
      <c r="M19" s="467">
        <v>4.0000000000000002E-4</v>
      </c>
      <c r="N19" s="468">
        <v>1</v>
      </c>
      <c r="O19" s="468">
        <v>3</v>
      </c>
      <c r="P19" s="470">
        <v>50</v>
      </c>
      <c r="Q19" s="476">
        <v>5</v>
      </c>
      <c r="R19" s="447">
        <v>-40</v>
      </c>
      <c r="S19" s="447">
        <v>125</v>
      </c>
      <c r="T19" s="471"/>
      <c r="U19" s="471">
        <v>6300</v>
      </c>
      <c r="V19" s="472">
        <v>6300</v>
      </c>
      <c r="W19" s="390">
        <v>100</v>
      </c>
      <c r="X19" s="473">
        <v>0</v>
      </c>
      <c r="Y19" s="474">
        <f t="shared" si="0"/>
        <v>13</v>
      </c>
      <c r="Z19" s="474">
        <f>IF(OR($AL$107=Devices[[#This Row],[Input Type]], 0=Devices[[#This Row],[Input Type]]),Devices[[#This Row],[Row Num]], " ")</f>
        <v>13</v>
      </c>
      <c r="AA19" s="474" t="str">
        <f>IF(OR($AL$108=Devices[[#This Row],[Input Type]], 0=Devices[[#This Row],[Input Type]]),Devices[[#This Row],[Row Num]], " ")</f>
        <v xml:space="preserve"> </v>
      </c>
      <c r="AB19" s="474" t="str">
        <f>IF(0=Devices[[#This Row],[Input Type]], Devices[[#This Row],[Row Num]], " ")</f>
        <v xml:space="preserve"> </v>
      </c>
      <c r="AC19" s="474">
        <f>IFERROR(SMALL(Devices[Row Sel D], Devices[[#This Row],[Row Num]]), " ")</f>
        <v>13</v>
      </c>
      <c r="AD19" s="474">
        <f>IFERROR(SMALL(Devices[Row Sel SE], Devices[[#This Row],[Row Num]]), " ")</f>
        <v>47</v>
      </c>
      <c r="AE19" s="474">
        <f>IFERROR(SMALL(Devices[Row Sel N], Devices[[#This Row],[Row Num]]), " ")</f>
        <v>95</v>
      </c>
      <c r="AF19" s="474" t="str">
        <f>IFERROR(INDEX(Devices[Part], Devices[[#This Row],[Sel D]], 1), "")</f>
        <v>AMC0202R (Vref = 5V)</v>
      </c>
      <c r="AG19" s="474" t="str">
        <f>IFERROR(INDEX(Devices[Part], Devices[[#This Row],[Sel SE]], 1), "")</f>
        <v>AMC0311S-Q1</v>
      </c>
      <c r="AH19" s="474">
        <f>IFERROR(INDEX(Devices[Part], Devices[[#This Row],[Sel N]], 1), "")</f>
        <v>0</v>
      </c>
      <c r="AJ19" s="378"/>
    </row>
    <row r="20" spans="1:36" s="465" customFormat="1" ht="15" customHeight="1">
      <c r="A20" s="405" t="s">
        <v>448</v>
      </c>
      <c r="B20" s="380" t="s">
        <v>46</v>
      </c>
      <c r="C20" s="371" t="s">
        <v>407</v>
      </c>
      <c r="D20" s="467">
        <v>4.0000000000000002E-4</v>
      </c>
      <c r="E20" s="467">
        <v>2E-3</v>
      </c>
      <c r="F20" s="468">
        <v>5</v>
      </c>
      <c r="G20" s="468">
        <v>45</v>
      </c>
      <c r="H20" s="477">
        <v>4.0000000000000001E-3</v>
      </c>
      <c r="I20" s="477">
        <v>0.05</v>
      </c>
      <c r="J20" s="469">
        <v>0.15</v>
      </c>
      <c r="K20" s="469">
        <v>1</v>
      </c>
      <c r="L20" s="467">
        <v>1.3300000000000001E-4</v>
      </c>
      <c r="M20" s="467">
        <v>4.0000000000000002E-4</v>
      </c>
      <c r="N20" s="468">
        <v>1</v>
      </c>
      <c r="O20" s="468">
        <v>3</v>
      </c>
      <c r="P20" s="470">
        <v>50</v>
      </c>
      <c r="Q20" s="476">
        <v>3.3</v>
      </c>
      <c r="R20" s="447">
        <v>-40</v>
      </c>
      <c r="S20" s="447">
        <v>125</v>
      </c>
      <c r="T20" s="471"/>
      <c r="U20" s="471">
        <v>6300</v>
      </c>
      <c r="V20" s="472">
        <v>6300</v>
      </c>
      <c r="W20" s="390">
        <v>66</v>
      </c>
      <c r="X20" s="473">
        <v>0</v>
      </c>
      <c r="Y20" s="474">
        <f t="shared" si="0"/>
        <v>14</v>
      </c>
      <c r="Z20" s="474">
        <f>IF(OR($AL$107=Devices[[#This Row],[Input Type]], 0=Devices[[#This Row],[Input Type]]),Devices[[#This Row],[Row Num]], " ")</f>
        <v>14</v>
      </c>
      <c r="AA20" s="474" t="str">
        <f>IF(OR($AL$108=Devices[[#This Row],[Input Type]], 0=Devices[[#This Row],[Input Type]]),Devices[[#This Row],[Row Num]], " ")</f>
        <v xml:space="preserve"> </v>
      </c>
      <c r="AB20" s="474" t="str">
        <f>IF(0=Devices[[#This Row],[Input Type]], Devices[[#This Row],[Row Num]], " ")</f>
        <v xml:space="preserve"> </v>
      </c>
      <c r="AC20" s="474">
        <f>IFERROR(SMALL(Devices[Row Sel D], Devices[[#This Row],[Row Num]]), " ")</f>
        <v>14</v>
      </c>
      <c r="AD20" s="474">
        <f>IFERROR(SMALL(Devices[Row Sel SE], Devices[[#This Row],[Row Num]]), " ")</f>
        <v>58</v>
      </c>
      <c r="AE20" s="474">
        <f>IFERROR(SMALL(Devices[Row Sel N], Devices[[#This Row],[Row Num]]), " ")</f>
        <v>96</v>
      </c>
      <c r="AF20" s="474" t="str">
        <f>IFERROR(INDEX(Devices[Part], Devices[[#This Row],[Sel D]], 1), "")</f>
        <v>AMC0202R-Q1 (Vref = 3.3V)</v>
      </c>
      <c r="AG20" s="474" t="str">
        <f>IFERROR(INDEX(Devices[Part], Devices[[#This Row],[Sel SE]], 1), "")</f>
        <v>AMC1211-Q1</v>
      </c>
      <c r="AH20" s="474">
        <f>IFERROR(INDEX(Devices[Part], Devices[[#This Row],[Sel N]], 1), "")</f>
        <v>0</v>
      </c>
      <c r="AJ20" s="378"/>
    </row>
    <row r="21" spans="1:36" s="465" customFormat="1" ht="15" customHeight="1">
      <c r="A21" s="405" t="s">
        <v>452</v>
      </c>
      <c r="B21" s="380" t="s">
        <v>46</v>
      </c>
      <c r="C21" s="371" t="s">
        <v>407</v>
      </c>
      <c r="D21" s="467">
        <v>4.0000000000000002E-4</v>
      </c>
      <c r="E21" s="467">
        <v>2E-3</v>
      </c>
      <c r="F21" s="468">
        <v>5</v>
      </c>
      <c r="G21" s="468">
        <v>45</v>
      </c>
      <c r="H21" s="477">
        <v>4.0000000000000001E-3</v>
      </c>
      <c r="I21" s="477">
        <v>0.05</v>
      </c>
      <c r="J21" s="469">
        <v>0.15</v>
      </c>
      <c r="K21" s="469">
        <v>1</v>
      </c>
      <c r="L21" s="467">
        <v>1.3300000000000001E-4</v>
      </c>
      <c r="M21" s="467">
        <v>4.0000000000000002E-4</v>
      </c>
      <c r="N21" s="468">
        <v>1</v>
      </c>
      <c r="O21" s="468">
        <v>3</v>
      </c>
      <c r="P21" s="470">
        <v>50</v>
      </c>
      <c r="Q21" s="476">
        <v>5</v>
      </c>
      <c r="R21" s="447">
        <v>-40</v>
      </c>
      <c r="S21" s="447">
        <v>125</v>
      </c>
      <c r="T21" s="471"/>
      <c r="U21" s="471">
        <v>6300</v>
      </c>
      <c r="V21" s="472">
        <v>6300</v>
      </c>
      <c r="W21" s="390">
        <v>100</v>
      </c>
      <c r="X21" s="473">
        <v>0</v>
      </c>
      <c r="Y21" s="474">
        <f t="shared" si="0"/>
        <v>15</v>
      </c>
      <c r="Z21" s="474">
        <f>IF(OR($AL$107=Devices[[#This Row],[Input Type]], 0=Devices[[#This Row],[Input Type]]),Devices[[#This Row],[Row Num]], " ")</f>
        <v>15</v>
      </c>
      <c r="AA21" s="474" t="str">
        <f>IF(OR($AL$108=Devices[[#This Row],[Input Type]], 0=Devices[[#This Row],[Input Type]]),Devices[[#This Row],[Row Num]], " ")</f>
        <v xml:space="preserve"> </v>
      </c>
      <c r="AB21" s="474" t="str">
        <f>IF(0=Devices[[#This Row],[Input Type]], Devices[[#This Row],[Row Num]], " ")</f>
        <v xml:space="preserve"> </v>
      </c>
      <c r="AC21" s="474">
        <f>IFERROR(SMALL(Devices[Row Sel D], Devices[[#This Row],[Row Num]]), " ")</f>
        <v>15</v>
      </c>
      <c r="AD21" s="474">
        <f>IFERROR(SMALL(Devices[Row Sel SE], Devices[[#This Row],[Row Num]]), " ")</f>
        <v>68</v>
      </c>
      <c r="AE21" s="474">
        <f>IFERROR(SMALL(Devices[Row Sel N], Devices[[#This Row],[Row Num]]), " ")</f>
        <v>97</v>
      </c>
      <c r="AF21" s="474" t="str">
        <f>IFERROR(INDEX(Devices[Part], Devices[[#This Row],[Sel D]], 1), "")</f>
        <v>AMC0202R-Q1 (Vref = 5V)</v>
      </c>
      <c r="AG21" s="474" t="str">
        <f>IFERROR(INDEX(Devices[Part], Devices[[#This Row],[Sel SE]], 1), "")</f>
        <v>AMC1311</v>
      </c>
      <c r="AH21" s="474">
        <f>IFERROR(INDEX(Devices[Part], Devices[[#This Row],[Sel N]], 1), "")</f>
        <v>0</v>
      </c>
      <c r="AJ21" s="378"/>
    </row>
    <row r="22" spans="1:36" s="465" customFormat="1" ht="15" customHeight="1">
      <c r="A22" s="405" t="s">
        <v>417</v>
      </c>
      <c r="B22" s="380" t="s">
        <v>47</v>
      </c>
      <c r="C22" s="371" t="s">
        <v>46</v>
      </c>
      <c r="D22" s="438">
        <v>4.0000000000000002E-4</v>
      </c>
      <c r="E22" s="438">
        <v>2.5000000000000001E-3</v>
      </c>
      <c r="F22" s="439">
        <v>5</v>
      </c>
      <c r="G22" s="439">
        <v>50</v>
      </c>
      <c r="H22" s="478">
        <v>0.1</v>
      </c>
      <c r="I22" s="478">
        <v>0.8</v>
      </c>
      <c r="J22" s="440">
        <v>1</v>
      </c>
      <c r="K22" s="440">
        <v>10</v>
      </c>
      <c r="L22" s="445">
        <v>2.0000000000000002E-5</v>
      </c>
      <c r="M22" s="445">
        <v>3.5E-4</v>
      </c>
      <c r="N22" s="439">
        <v>1</v>
      </c>
      <c r="O22" s="439">
        <v>3</v>
      </c>
      <c r="P22" s="441">
        <v>2000</v>
      </c>
      <c r="Q22" s="476">
        <v>2</v>
      </c>
      <c r="R22" s="447">
        <v>-40</v>
      </c>
      <c r="S22" s="447">
        <v>125</v>
      </c>
      <c r="T22" s="442"/>
      <c r="U22" s="442">
        <v>2400000000</v>
      </c>
      <c r="V22" s="443">
        <v>2400000000</v>
      </c>
      <c r="W22" s="390">
        <v>1</v>
      </c>
      <c r="X22" s="448">
        <v>3.0000000000000001E-3</v>
      </c>
      <c r="Y22" s="474">
        <f t="shared" si="0"/>
        <v>16</v>
      </c>
      <c r="Z22" s="474" t="str">
        <f>IF(OR($AL$107=Devices[[#This Row],[Input Type]], 0=Devices[[#This Row],[Input Type]]),Devices[[#This Row],[Row Num]], " ")</f>
        <v xml:space="preserve"> </v>
      </c>
      <c r="AA22" s="474">
        <f>IF(OR($AL$108=Devices[[#This Row],[Input Type]], 0=Devices[[#This Row],[Input Type]]),Devices[[#This Row],[Row Num]], " ")</f>
        <v>16</v>
      </c>
      <c r="AB22" s="474" t="str">
        <f>IF(0=Devices[[#This Row],[Input Type]], Devices[[#This Row],[Row Num]], " ")</f>
        <v xml:space="preserve"> </v>
      </c>
      <c r="AC22" s="474">
        <f>IFERROR(SMALL(Devices[Row Sel D], Devices[[#This Row],[Row Num]]), " ")</f>
        <v>22</v>
      </c>
      <c r="AD22" s="474">
        <f>IFERROR(SMALL(Devices[Row Sel SE], Devices[[#This Row],[Row Num]]), " ")</f>
        <v>69</v>
      </c>
      <c r="AE22" s="474">
        <f>IFERROR(SMALL(Devices[Row Sel N], Devices[[#This Row],[Row Num]]), " ")</f>
        <v>98</v>
      </c>
      <c r="AF22" s="474" t="str">
        <f>IFERROR(INDEX(Devices[Part], Devices[[#This Row],[Sel D]], 1), "")</f>
        <v>AMC0230D</v>
      </c>
      <c r="AG22" s="474" t="str">
        <f>IFERROR(INDEX(Devices[Part], Devices[[#This Row],[Sel SE]], 1), "")</f>
        <v>AMC1311B</v>
      </c>
      <c r="AH22" s="474">
        <f>IFERROR(INDEX(Devices[Part], Devices[[#This Row],[Sel N]], 1), "")</f>
        <v>0</v>
      </c>
      <c r="AJ22" s="378"/>
    </row>
    <row r="23" spans="1:36" s="465" customFormat="1" ht="15" customHeight="1">
      <c r="A23" s="405" t="s">
        <v>418</v>
      </c>
      <c r="B23" s="380" t="s">
        <v>47</v>
      </c>
      <c r="C23" s="371" t="s">
        <v>46</v>
      </c>
      <c r="D23" s="438">
        <v>4.0000000000000002E-4</v>
      </c>
      <c r="E23" s="438">
        <v>2.5000000000000001E-3</v>
      </c>
      <c r="F23" s="439">
        <v>5</v>
      </c>
      <c r="G23" s="439">
        <v>50</v>
      </c>
      <c r="H23" s="478">
        <v>0.1</v>
      </c>
      <c r="I23" s="478">
        <v>0.8</v>
      </c>
      <c r="J23" s="440">
        <v>1</v>
      </c>
      <c r="K23" s="440">
        <v>10</v>
      </c>
      <c r="L23" s="445">
        <v>2.0000000000000002E-5</v>
      </c>
      <c r="M23" s="445">
        <v>3.5E-4</v>
      </c>
      <c r="N23" s="439">
        <v>1</v>
      </c>
      <c r="O23" s="439">
        <v>3</v>
      </c>
      <c r="P23" s="441">
        <v>2000</v>
      </c>
      <c r="Q23" s="476">
        <v>2</v>
      </c>
      <c r="R23" s="447">
        <v>-40</v>
      </c>
      <c r="S23" s="447">
        <v>125</v>
      </c>
      <c r="T23" s="442"/>
      <c r="U23" s="442">
        <v>2400000000</v>
      </c>
      <c r="V23" s="443">
        <v>2400000000</v>
      </c>
      <c r="W23" s="390">
        <v>1</v>
      </c>
      <c r="X23" s="448">
        <v>3.0000000000000001E-3</v>
      </c>
      <c r="Y23" s="474">
        <f t="shared" si="0"/>
        <v>17</v>
      </c>
      <c r="Z23" s="474" t="str">
        <f>IF(OR($AL$107=Devices[[#This Row],[Input Type]], 0=Devices[[#This Row],[Input Type]]),Devices[[#This Row],[Row Num]], " ")</f>
        <v xml:space="preserve"> </v>
      </c>
      <c r="AA23" s="474">
        <f>IF(OR($AL$108=Devices[[#This Row],[Input Type]], 0=Devices[[#This Row],[Input Type]]),Devices[[#This Row],[Row Num]], " ")</f>
        <v>17</v>
      </c>
      <c r="AB23" s="474" t="str">
        <f>IF(0=Devices[[#This Row],[Input Type]], Devices[[#This Row],[Row Num]], " ")</f>
        <v xml:space="preserve"> </v>
      </c>
      <c r="AC23" s="474">
        <f>IFERROR(SMALL(Devices[Row Sel D], Devices[[#This Row],[Row Num]]), " ")</f>
        <v>23</v>
      </c>
      <c r="AD23" s="474">
        <f>IFERROR(SMALL(Devices[Row Sel SE], Devices[[#This Row],[Row Num]]), " ")</f>
        <v>70</v>
      </c>
      <c r="AE23" s="474">
        <f>IFERROR(SMALL(Devices[Row Sel N], Devices[[#This Row],[Row Num]]), " ")</f>
        <v>99</v>
      </c>
      <c r="AF23" s="474" t="str">
        <f>IFERROR(INDEX(Devices[Part], Devices[[#This Row],[Sel D]], 1), "")</f>
        <v>AMC0230D-Q1</v>
      </c>
      <c r="AG23" s="474" t="str">
        <f>IFERROR(INDEX(Devices[Part], Devices[[#This Row],[Sel SE]], 1), "")</f>
        <v>AMC1311B-Q1</v>
      </c>
      <c r="AH23" s="474">
        <f>IFERROR(INDEX(Devices[Part], Devices[[#This Row],[Sel N]], 1), "")</f>
        <v>0</v>
      </c>
      <c r="AJ23" s="378"/>
    </row>
    <row r="24" spans="1:36" s="465" customFormat="1" ht="15" customHeight="1">
      <c r="A24" s="405" t="s">
        <v>419</v>
      </c>
      <c r="B24" s="380" t="s">
        <v>47</v>
      </c>
      <c r="C24" s="371" t="s">
        <v>407</v>
      </c>
      <c r="D24" s="438">
        <v>4.0000000000000002E-4</v>
      </c>
      <c r="E24" s="438">
        <v>2.5000000000000001E-3</v>
      </c>
      <c r="F24" s="439">
        <v>5</v>
      </c>
      <c r="G24" s="439">
        <v>40</v>
      </c>
      <c r="H24" s="478">
        <v>0.15</v>
      </c>
      <c r="I24" s="478">
        <v>1.5</v>
      </c>
      <c r="J24" s="440">
        <v>3</v>
      </c>
      <c r="K24" s="440">
        <v>30</v>
      </c>
      <c r="L24" s="445">
        <v>2.0000000000000002E-5</v>
      </c>
      <c r="M24" s="399">
        <v>8.0000000000000004E-4</v>
      </c>
      <c r="N24" s="439">
        <v>1</v>
      </c>
      <c r="O24" s="439">
        <v>3</v>
      </c>
      <c r="P24" s="441">
        <v>2250</v>
      </c>
      <c r="Q24" s="476">
        <v>3.3</v>
      </c>
      <c r="R24" s="447">
        <v>-40</v>
      </c>
      <c r="S24" s="447">
        <v>125</v>
      </c>
      <c r="T24" s="442"/>
      <c r="U24" s="442">
        <v>2400000000</v>
      </c>
      <c r="V24" s="443">
        <v>2400000000</v>
      </c>
      <c r="W24" s="390">
        <f>3.3/2.56</f>
        <v>1.2890625</v>
      </c>
      <c r="X24" s="448">
        <v>3.0000000000000001E-3</v>
      </c>
      <c r="Y24" s="474">
        <f t="shared" si="0"/>
        <v>18</v>
      </c>
      <c r="Z24" s="474" t="str">
        <f>IF(OR($AL$107=Devices[[#This Row],[Input Type]], 0=Devices[[#This Row],[Input Type]]),Devices[[#This Row],[Row Num]], " ")</f>
        <v xml:space="preserve"> </v>
      </c>
      <c r="AA24" s="474">
        <f>IF(OR($AL$108=Devices[[#This Row],[Input Type]], 0=Devices[[#This Row],[Input Type]]),Devices[[#This Row],[Row Num]], " ")</f>
        <v>18</v>
      </c>
      <c r="AB24" s="474" t="str">
        <f>IF(0=Devices[[#This Row],[Input Type]], Devices[[#This Row],[Row Num]], " ")</f>
        <v xml:space="preserve"> </v>
      </c>
      <c r="AC24" s="474">
        <f>IFERROR(SMALL(Devices[Row Sel D], Devices[[#This Row],[Row Num]]), " ")</f>
        <v>24</v>
      </c>
      <c r="AD24" s="474">
        <f>IFERROR(SMALL(Devices[Row Sel SE], Devices[[#This Row],[Row Num]]), " ")</f>
        <v>71</v>
      </c>
      <c r="AE24" s="474" t="str">
        <f>IFERROR(SMALL(Devices[Row Sel N], Devices[[#This Row],[Row Num]]), " ")</f>
        <v xml:space="preserve"> </v>
      </c>
      <c r="AF24" s="474" t="str">
        <f>IFERROR(INDEX(Devices[Part], Devices[[#This Row],[Sel D]], 1), "")</f>
        <v>AMC0230R (Vref = 3.3V)</v>
      </c>
      <c r="AG24" s="474" t="str">
        <f>IFERROR(INDEX(Devices[Part], Devices[[#This Row],[Sel SE]], 1), "")</f>
        <v>AMC1311-Q1</v>
      </c>
      <c r="AH24" s="474" t="str">
        <f>IFERROR(INDEX(Devices[Part], Devices[[#This Row],[Sel N]], 1), "")</f>
        <v/>
      </c>
      <c r="AJ24" s="378"/>
    </row>
    <row r="25" spans="1:36" s="465" customFormat="1" ht="15" customHeight="1">
      <c r="A25" s="405" t="s">
        <v>420</v>
      </c>
      <c r="B25" s="380" t="s">
        <v>47</v>
      </c>
      <c r="C25" s="371" t="s">
        <v>407</v>
      </c>
      <c r="D25" s="438">
        <v>4.0000000000000002E-4</v>
      </c>
      <c r="E25" s="438">
        <v>2.5000000000000001E-3</v>
      </c>
      <c r="F25" s="439">
        <v>5</v>
      </c>
      <c r="G25" s="439">
        <v>40</v>
      </c>
      <c r="H25" s="478">
        <v>0.15</v>
      </c>
      <c r="I25" s="478">
        <v>1.5</v>
      </c>
      <c r="J25" s="440">
        <v>3</v>
      </c>
      <c r="K25" s="440">
        <v>30</v>
      </c>
      <c r="L25" s="445">
        <v>2.0000000000000002E-5</v>
      </c>
      <c r="M25" s="399">
        <v>8.0000000000000004E-4</v>
      </c>
      <c r="N25" s="439">
        <v>1</v>
      </c>
      <c r="O25" s="439">
        <v>3</v>
      </c>
      <c r="P25" s="441">
        <v>2250</v>
      </c>
      <c r="Q25" s="476">
        <v>5</v>
      </c>
      <c r="R25" s="447">
        <v>-40</v>
      </c>
      <c r="S25" s="447">
        <v>125</v>
      </c>
      <c r="T25" s="442"/>
      <c r="U25" s="442">
        <v>2400000000</v>
      </c>
      <c r="V25" s="443">
        <v>2400000000</v>
      </c>
      <c r="W25" s="390">
        <v>2.5</v>
      </c>
      <c r="X25" s="448">
        <v>3.0000000000000001E-3</v>
      </c>
      <c r="Y25" s="474">
        <f t="shared" si="0"/>
        <v>19</v>
      </c>
      <c r="Z25" s="474" t="str">
        <f>IF(OR($AL$107=Devices[[#This Row],[Input Type]], 0=Devices[[#This Row],[Input Type]]),Devices[[#This Row],[Row Num]], " ")</f>
        <v xml:space="preserve"> </v>
      </c>
      <c r="AA25" s="474">
        <f>IF(OR($AL$108=Devices[[#This Row],[Input Type]], 0=Devices[[#This Row],[Input Type]]),Devices[[#This Row],[Row Num]], " ")</f>
        <v>19</v>
      </c>
      <c r="AB25" s="474" t="str">
        <f>IF(0=Devices[[#This Row],[Input Type]], Devices[[#This Row],[Row Num]], " ")</f>
        <v xml:space="preserve"> </v>
      </c>
      <c r="AC25" s="474">
        <f>IFERROR(SMALL(Devices[Row Sel D], Devices[[#This Row],[Row Num]]), " ")</f>
        <v>25</v>
      </c>
      <c r="AD25" s="474">
        <f>IFERROR(SMALL(Devices[Row Sel SE], Devices[[#This Row],[Row Num]]), " ")</f>
        <v>73</v>
      </c>
      <c r="AE25" s="474" t="str">
        <f>IFERROR(SMALL(Devices[Row Sel N], Devices[[#This Row],[Row Num]]), " ")</f>
        <v xml:space="preserve"> </v>
      </c>
      <c r="AF25" s="474" t="str">
        <f>IFERROR(INDEX(Devices[Part], Devices[[#This Row],[Sel D]], 1), "")</f>
        <v>AMC0230R (Vref = 5V)</v>
      </c>
      <c r="AG25" s="474" t="str">
        <f>IFERROR(INDEX(Devices[Part], Devices[[#This Row],[Sel SE]], 1), "")</f>
        <v>AMC1351</v>
      </c>
      <c r="AH25" s="474" t="str">
        <f>IFERROR(INDEX(Devices[Part], Devices[[#This Row],[Sel N]], 1), "")</f>
        <v/>
      </c>
      <c r="AJ25" s="378"/>
    </row>
    <row r="26" spans="1:36" s="465" customFormat="1" ht="15" customHeight="1">
      <c r="A26" s="405" t="s">
        <v>421</v>
      </c>
      <c r="B26" s="380" t="s">
        <v>47</v>
      </c>
      <c r="C26" s="371" t="s">
        <v>47</v>
      </c>
      <c r="D26" s="438">
        <v>4.0000000000000002E-4</v>
      </c>
      <c r="E26" s="438">
        <v>2.5000000000000001E-3</v>
      </c>
      <c r="F26" s="439">
        <v>5</v>
      </c>
      <c r="G26" s="439">
        <v>50</v>
      </c>
      <c r="H26" s="478">
        <v>0.15</v>
      </c>
      <c r="I26" s="478">
        <v>1</v>
      </c>
      <c r="J26" s="440">
        <v>3</v>
      </c>
      <c r="K26" s="440">
        <v>30</v>
      </c>
      <c r="L26" s="445">
        <v>2.0000000000000002E-5</v>
      </c>
      <c r="M26" s="438">
        <v>8.0000000000000004E-4</v>
      </c>
      <c r="N26" s="439">
        <v>1</v>
      </c>
      <c r="O26" s="439">
        <v>3</v>
      </c>
      <c r="P26" s="441">
        <v>2250</v>
      </c>
      <c r="Q26" s="476">
        <v>2.25</v>
      </c>
      <c r="R26" s="447">
        <v>-40</v>
      </c>
      <c r="S26" s="447">
        <v>125</v>
      </c>
      <c r="T26" s="442"/>
      <c r="U26" s="442">
        <v>2400000000</v>
      </c>
      <c r="V26" s="442">
        <v>2400000000</v>
      </c>
      <c r="W26" s="390">
        <v>1</v>
      </c>
      <c r="X26" s="448">
        <v>3.0000000000000001E-3</v>
      </c>
      <c r="Y26" s="474">
        <f t="shared" si="0"/>
        <v>20</v>
      </c>
      <c r="Z26" s="474" t="str">
        <f>IF(OR($AL$107=Devices[[#This Row],[Input Type]], 0=Devices[[#This Row],[Input Type]]),Devices[[#This Row],[Row Num]], " ")</f>
        <v xml:space="preserve"> </v>
      </c>
      <c r="AA26" s="474">
        <f>IF(OR($AL$108=Devices[[#This Row],[Input Type]], 0=Devices[[#This Row],[Input Type]]),Devices[[#This Row],[Row Num]], " ")</f>
        <v>20</v>
      </c>
      <c r="AB26" s="474" t="str">
        <f>IF(0=Devices[[#This Row],[Input Type]], Devices[[#This Row],[Row Num]], " ")</f>
        <v xml:space="preserve"> </v>
      </c>
      <c r="AC26" s="474">
        <f>IFERROR(SMALL(Devices[Row Sel D], Devices[[#This Row],[Row Num]]), " ")</f>
        <v>26</v>
      </c>
      <c r="AD26" s="474">
        <f>IFERROR(SMALL(Devices[Row Sel SE], Devices[[#This Row],[Row Num]]), " ")</f>
        <v>75</v>
      </c>
      <c r="AE26" s="474" t="str">
        <f>IFERROR(SMALL(Devices[Row Sel N], Devices[[#This Row],[Row Num]]), " ")</f>
        <v xml:space="preserve"> </v>
      </c>
      <c r="AF26" s="474" t="str">
        <f>IFERROR(INDEX(Devices[Part], Devices[[#This Row],[Sel D]], 1), "")</f>
        <v>AMC0230R-Q1 (Vref = 3.3V)</v>
      </c>
      <c r="AG26" s="474" t="str">
        <f>IFERROR(INDEX(Devices[Part], Devices[[#This Row],[Sel SE]], 1), "")</f>
        <v>AMC1411</v>
      </c>
      <c r="AH26" s="474" t="str">
        <f>IFERROR(INDEX(Devices[Part], Devices[[#This Row],[Sel N]], 1), "")</f>
        <v/>
      </c>
      <c r="AJ26" s="378"/>
    </row>
    <row r="27" spans="1:36" s="465" customFormat="1" ht="15" customHeight="1">
      <c r="A27" s="405" t="s">
        <v>422</v>
      </c>
      <c r="B27" s="380" t="s">
        <v>47</v>
      </c>
      <c r="C27" s="371" t="s">
        <v>47</v>
      </c>
      <c r="D27" s="438">
        <v>4.0000000000000002E-4</v>
      </c>
      <c r="E27" s="438">
        <v>2.5000000000000001E-3</v>
      </c>
      <c r="F27" s="439">
        <v>5</v>
      </c>
      <c r="G27" s="439">
        <v>50</v>
      </c>
      <c r="H27" s="478">
        <v>0.15</v>
      </c>
      <c r="I27" s="478">
        <v>1</v>
      </c>
      <c r="J27" s="440">
        <v>3</v>
      </c>
      <c r="K27" s="440">
        <v>30</v>
      </c>
      <c r="L27" s="445">
        <v>2.0000000000000002E-5</v>
      </c>
      <c r="M27" s="438">
        <v>8.0000000000000004E-4</v>
      </c>
      <c r="N27" s="439">
        <v>1</v>
      </c>
      <c r="O27" s="439">
        <v>3</v>
      </c>
      <c r="P27" s="441">
        <v>2250</v>
      </c>
      <c r="Q27" s="476">
        <v>2.25</v>
      </c>
      <c r="R27" s="447">
        <v>-40</v>
      </c>
      <c r="S27" s="447">
        <v>125</v>
      </c>
      <c r="T27" s="442"/>
      <c r="U27" s="442">
        <v>2400000000</v>
      </c>
      <c r="V27" s="442">
        <v>2400000000</v>
      </c>
      <c r="W27" s="390">
        <v>1</v>
      </c>
      <c r="X27" s="448">
        <v>3.0000000000000001E-3</v>
      </c>
      <c r="Y27" s="474">
        <f t="shared" si="0"/>
        <v>21</v>
      </c>
      <c r="Z27" s="474" t="str">
        <f>IF(OR($AL$107=Devices[[#This Row],[Input Type]], 0=Devices[[#This Row],[Input Type]]),Devices[[#This Row],[Row Num]], " ")</f>
        <v xml:space="preserve"> </v>
      </c>
      <c r="AA27" s="474">
        <f>IF(OR($AL$108=Devices[[#This Row],[Input Type]], 0=Devices[[#This Row],[Input Type]]),Devices[[#This Row],[Row Num]], " ")</f>
        <v>21</v>
      </c>
      <c r="AB27" s="474" t="str">
        <f>IF(0=Devices[[#This Row],[Input Type]], Devices[[#This Row],[Row Num]], " ")</f>
        <v xml:space="preserve"> </v>
      </c>
      <c r="AC27" s="474">
        <f>IFERROR(SMALL(Devices[Row Sel D], Devices[[#This Row],[Row Num]]), " ")</f>
        <v>27</v>
      </c>
      <c r="AD27" s="474">
        <f>IFERROR(SMALL(Devices[Row Sel SE], Devices[[#This Row],[Row Num]]), " ")</f>
        <v>82</v>
      </c>
      <c r="AE27" s="474" t="str">
        <f>IFERROR(SMALL(Devices[Row Sel N], Devices[[#This Row],[Row Num]]), " ")</f>
        <v xml:space="preserve"> </v>
      </c>
      <c r="AF27" s="474" t="str">
        <f>IFERROR(INDEX(Devices[Part], Devices[[#This Row],[Sel D]], 1), "")</f>
        <v>AMC0230R-Q1 (Vref = 5V)</v>
      </c>
      <c r="AG27" s="474" t="str">
        <f>IFERROR(INDEX(Devices[Part], Devices[[#This Row],[Sel SE]], 1), "")</f>
        <v>ISO224A</v>
      </c>
      <c r="AH27" s="474" t="str">
        <f>IFERROR(INDEX(Devices[Part], Devices[[#This Row],[Sel N]], 1), "")</f>
        <v/>
      </c>
      <c r="AJ27" s="378"/>
    </row>
    <row r="28" spans="1:36" s="465" customFormat="1" ht="15" customHeight="1">
      <c r="A28" s="405" t="s">
        <v>455</v>
      </c>
      <c r="B28" s="380" t="s">
        <v>46</v>
      </c>
      <c r="C28" s="371" t="s">
        <v>46</v>
      </c>
      <c r="D28" s="467">
        <v>4.0000000000000002E-4</v>
      </c>
      <c r="E28" s="467">
        <v>2.5000000000000001E-3</v>
      </c>
      <c r="F28" s="468">
        <v>5</v>
      </c>
      <c r="G28" s="468">
        <v>40</v>
      </c>
      <c r="H28" s="477">
        <v>0.1</v>
      </c>
      <c r="I28" s="477">
        <v>0.8</v>
      </c>
      <c r="J28" s="469">
        <v>1</v>
      </c>
      <c r="K28" s="469">
        <v>10</v>
      </c>
      <c r="L28" s="467">
        <v>1E-4</v>
      </c>
      <c r="M28" s="467">
        <v>2.5000000000000001E-4</v>
      </c>
      <c r="N28" s="468">
        <v>1</v>
      </c>
      <c r="O28" s="468">
        <v>3</v>
      </c>
      <c r="P28" s="470">
        <v>1000</v>
      </c>
      <c r="Q28" s="476">
        <v>2</v>
      </c>
      <c r="R28" s="447">
        <v>-40</v>
      </c>
      <c r="S28" s="447">
        <v>125</v>
      </c>
      <c r="T28" s="471"/>
      <c r="U28" s="471">
        <v>2400000000</v>
      </c>
      <c r="V28" s="471">
        <v>2400000000</v>
      </c>
      <c r="W28" s="390">
        <v>2</v>
      </c>
      <c r="X28" s="473">
        <v>0.01</v>
      </c>
      <c r="Y28" s="474">
        <f t="shared" si="0"/>
        <v>22</v>
      </c>
      <c r="Z28" s="474">
        <f>IF(OR($AL$107=Devices[[#This Row],[Input Type]], 0=Devices[[#This Row],[Input Type]]),Devices[[#This Row],[Row Num]], " ")</f>
        <v>22</v>
      </c>
      <c r="AA28" s="474" t="str">
        <f>IF(OR($AL$108=Devices[[#This Row],[Input Type]], 0=Devices[[#This Row],[Input Type]]),Devices[[#This Row],[Row Num]], " ")</f>
        <v xml:space="preserve"> </v>
      </c>
      <c r="AB28" s="474" t="str">
        <f>IF(0=Devices[[#This Row],[Input Type]], Devices[[#This Row],[Row Num]], " ")</f>
        <v xml:space="preserve"> </v>
      </c>
      <c r="AC28" s="474">
        <f>IFERROR(SMALL(Devices[Row Sel D], Devices[[#This Row],[Row Num]]), " ")</f>
        <v>28</v>
      </c>
      <c r="AD28" s="474">
        <f>IFERROR(SMALL(Devices[Row Sel SE], Devices[[#This Row],[Row Num]]), " ")</f>
        <v>83</v>
      </c>
      <c r="AE28" s="474" t="str">
        <f>IFERROR(SMALL(Devices[Row Sel N], Devices[[#This Row],[Row Num]]), " ")</f>
        <v xml:space="preserve"> </v>
      </c>
      <c r="AF28" s="474" t="str">
        <f>IFERROR(INDEX(Devices[Part], Devices[[#This Row],[Sel D]], 1), "")</f>
        <v>AMC0230S</v>
      </c>
      <c r="AG28" s="474" t="str">
        <f>IFERROR(INDEX(Devices[Part], Devices[[#This Row],[Sel SE]], 1), "")</f>
        <v>ISO224B</v>
      </c>
      <c r="AH28" s="474" t="str">
        <f>IFERROR(INDEX(Devices[Part], Devices[[#This Row],[Sel N]], 1), "")</f>
        <v/>
      </c>
      <c r="AJ28" s="378"/>
    </row>
    <row r="29" spans="1:36" s="465" customFormat="1" ht="15" customHeight="1">
      <c r="A29" s="405" t="s">
        <v>456</v>
      </c>
      <c r="B29" s="380" t="s">
        <v>46</v>
      </c>
      <c r="C29" s="371" t="s">
        <v>46</v>
      </c>
      <c r="D29" s="467">
        <v>4.0000000000000002E-4</v>
      </c>
      <c r="E29" s="467">
        <v>2.5000000000000001E-3</v>
      </c>
      <c r="F29" s="468">
        <v>5</v>
      </c>
      <c r="G29" s="468">
        <v>40</v>
      </c>
      <c r="H29" s="477">
        <v>0.1</v>
      </c>
      <c r="I29" s="477">
        <v>0.8</v>
      </c>
      <c r="J29" s="469">
        <v>1</v>
      </c>
      <c r="K29" s="469">
        <v>10</v>
      </c>
      <c r="L29" s="467">
        <v>1E-4</v>
      </c>
      <c r="M29" s="467">
        <v>2.5000000000000001E-4</v>
      </c>
      <c r="N29" s="468">
        <v>1</v>
      </c>
      <c r="O29" s="468">
        <v>3</v>
      </c>
      <c r="P29" s="470">
        <v>1000</v>
      </c>
      <c r="Q29" s="476">
        <v>2</v>
      </c>
      <c r="R29" s="447">
        <v>-40</v>
      </c>
      <c r="S29" s="447">
        <v>125</v>
      </c>
      <c r="T29" s="471"/>
      <c r="U29" s="471">
        <v>2400000000</v>
      </c>
      <c r="V29" s="471">
        <v>2400000000</v>
      </c>
      <c r="W29" s="390">
        <v>2</v>
      </c>
      <c r="X29" s="473">
        <v>0.01</v>
      </c>
      <c r="Y29" s="474">
        <f t="shared" si="0"/>
        <v>23</v>
      </c>
      <c r="Z29" s="474">
        <f>IF(OR($AL$107=Devices[[#This Row],[Input Type]], 0=Devices[[#This Row],[Input Type]]),Devices[[#This Row],[Row Num]], " ")</f>
        <v>23</v>
      </c>
      <c r="AA29" s="474" t="str">
        <f>IF(OR($AL$108=Devices[[#This Row],[Input Type]], 0=Devices[[#This Row],[Input Type]]),Devices[[#This Row],[Row Num]], " ")</f>
        <v xml:space="preserve"> </v>
      </c>
      <c r="AB29" s="474" t="str">
        <f>IF(0=Devices[[#This Row],[Input Type]], Devices[[#This Row],[Row Num]], " ")</f>
        <v xml:space="preserve"> </v>
      </c>
      <c r="AC29" s="474">
        <f>IFERROR(SMALL(Devices[Row Sel D], Devices[[#This Row],[Row Num]]), " ")</f>
        <v>29</v>
      </c>
      <c r="AD29" s="474">
        <f>IFERROR(SMALL(Devices[Row Sel SE], Devices[[#This Row],[Row Num]]), " ")</f>
        <v>84</v>
      </c>
      <c r="AE29" s="474" t="str">
        <f>IFERROR(SMALL(Devices[Row Sel N], Devices[[#This Row],[Row Num]]), " ")</f>
        <v xml:space="preserve"> </v>
      </c>
      <c r="AF29" s="474" t="str">
        <f>IFERROR(INDEX(Devices[Part], Devices[[#This Row],[Sel D]], 1), "")</f>
        <v>AMC0230S-Q1</v>
      </c>
      <c r="AG29" s="474">
        <f>IFERROR(INDEX(Devices[Part], Devices[[#This Row],[Sel SE]], 1), "")</f>
        <v>0</v>
      </c>
      <c r="AH29" s="474" t="str">
        <f>IFERROR(INDEX(Devices[Part], Devices[[#This Row],[Sel N]], 1), "")</f>
        <v/>
      </c>
      <c r="AJ29" s="378"/>
    </row>
    <row r="30" spans="1:36" s="465" customFormat="1" ht="15" customHeight="1">
      <c r="A30" s="405" t="s">
        <v>435</v>
      </c>
      <c r="B30" s="380" t="s">
        <v>46</v>
      </c>
      <c r="C30" s="371" t="s">
        <v>407</v>
      </c>
      <c r="D30" s="467">
        <v>4.0000000000000002E-4</v>
      </c>
      <c r="E30" s="467">
        <v>2.5000000000000001E-3</v>
      </c>
      <c r="F30" s="468">
        <v>5</v>
      </c>
      <c r="G30" s="468">
        <v>40</v>
      </c>
      <c r="H30" s="477">
        <v>0.01</v>
      </c>
      <c r="I30" s="477">
        <v>1.5</v>
      </c>
      <c r="J30" s="469">
        <v>2</v>
      </c>
      <c r="K30" s="469">
        <v>20</v>
      </c>
      <c r="L30" s="467">
        <v>1.2999999999999999E-4</v>
      </c>
      <c r="M30" s="467">
        <v>2.5000000000000001E-4</v>
      </c>
      <c r="N30" s="468">
        <v>1</v>
      </c>
      <c r="O30" s="468">
        <v>3</v>
      </c>
      <c r="P30" s="470">
        <v>1000</v>
      </c>
      <c r="Q30" s="476">
        <v>3.3</v>
      </c>
      <c r="R30" s="447">
        <v>-40</v>
      </c>
      <c r="S30" s="447">
        <v>125</v>
      </c>
      <c r="T30" s="471"/>
      <c r="U30" s="471">
        <v>2400000000</v>
      </c>
      <c r="V30" s="471">
        <v>2400000000</v>
      </c>
      <c r="W30" s="390">
        <v>3.3</v>
      </c>
      <c r="X30" s="473">
        <v>0.01</v>
      </c>
      <c r="Y30" s="474">
        <f t="shared" si="0"/>
        <v>24</v>
      </c>
      <c r="Z30" s="474">
        <f>IF(OR($AL$107=Devices[[#This Row],[Input Type]], 0=Devices[[#This Row],[Input Type]]),Devices[[#This Row],[Row Num]], " ")</f>
        <v>24</v>
      </c>
      <c r="AA30" s="474" t="str">
        <f>IF(OR($AL$108=Devices[[#This Row],[Input Type]], 0=Devices[[#This Row],[Input Type]]),Devices[[#This Row],[Row Num]], " ")</f>
        <v xml:space="preserve"> </v>
      </c>
      <c r="AB30" s="474" t="str">
        <f>IF(0=Devices[[#This Row],[Input Type]], Devices[[#This Row],[Row Num]], " ")</f>
        <v xml:space="preserve"> </v>
      </c>
      <c r="AC30" s="474">
        <f>IFERROR(SMALL(Devices[Row Sel D], Devices[[#This Row],[Row Num]]), " ")</f>
        <v>30</v>
      </c>
      <c r="AD30" s="474">
        <f>IFERROR(SMALL(Devices[Row Sel SE], Devices[[#This Row],[Row Num]]), " ")</f>
        <v>85</v>
      </c>
      <c r="AE30" s="474" t="str">
        <f>IFERROR(SMALL(Devices[Row Sel N], Devices[[#This Row],[Row Num]]), " ")</f>
        <v xml:space="preserve"> </v>
      </c>
      <c r="AF30" s="474" t="str">
        <f>IFERROR(INDEX(Devices[Part], Devices[[#This Row],[Sel D]], 1), "")</f>
        <v>AMC0300D</v>
      </c>
      <c r="AG30" s="474">
        <f>IFERROR(INDEX(Devices[Part], Devices[[#This Row],[Sel SE]], 1), "")</f>
        <v>0</v>
      </c>
      <c r="AH30" s="474" t="str">
        <f>IFERROR(INDEX(Devices[Part], Devices[[#This Row],[Sel N]], 1), "")</f>
        <v/>
      </c>
      <c r="AJ30" s="378"/>
    </row>
    <row r="31" spans="1:36" s="465" customFormat="1" ht="15" customHeight="1">
      <c r="A31" s="405" t="s">
        <v>439</v>
      </c>
      <c r="B31" s="380" t="s">
        <v>46</v>
      </c>
      <c r="C31" s="371" t="s">
        <v>407</v>
      </c>
      <c r="D31" s="467">
        <v>4.0000000000000002E-4</v>
      </c>
      <c r="E31" s="467">
        <v>2.5000000000000001E-3</v>
      </c>
      <c r="F31" s="468">
        <v>5</v>
      </c>
      <c r="G31" s="468">
        <v>40</v>
      </c>
      <c r="H31" s="477">
        <v>0.01</v>
      </c>
      <c r="I31" s="477">
        <v>1.5</v>
      </c>
      <c r="J31" s="469">
        <v>2</v>
      </c>
      <c r="K31" s="469">
        <v>20</v>
      </c>
      <c r="L31" s="467">
        <v>1.2999999999999999E-4</v>
      </c>
      <c r="M31" s="467">
        <v>2.5000000000000001E-4</v>
      </c>
      <c r="N31" s="468">
        <v>1</v>
      </c>
      <c r="O31" s="468">
        <v>3</v>
      </c>
      <c r="P31" s="470">
        <v>1000</v>
      </c>
      <c r="Q31" s="476">
        <v>5</v>
      </c>
      <c r="R31" s="447">
        <v>-40</v>
      </c>
      <c r="S31" s="447">
        <v>125</v>
      </c>
      <c r="T31" s="471"/>
      <c r="U31" s="471">
        <v>2400000000</v>
      </c>
      <c r="V31" s="471">
        <v>2400000000</v>
      </c>
      <c r="W31" s="390">
        <v>5</v>
      </c>
      <c r="X31" s="473">
        <v>0.01</v>
      </c>
      <c r="Y31" s="474">
        <f t="shared" si="0"/>
        <v>25</v>
      </c>
      <c r="Z31" s="474">
        <f>IF(OR($AL$107=Devices[[#This Row],[Input Type]], 0=Devices[[#This Row],[Input Type]]),Devices[[#This Row],[Row Num]], " ")</f>
        <v>25</v>
      </c>
      <c r="AA31" s="474" t="str">
        <f>IF(OR($AL$108=Devices[[#This Row],[Input Type]], 0=Devices[[#This Row],[Input Type]]),Devices[[#This Row],[Row Num]], " ")</f>
        <v xml:space="preserve"> </v>
      </c>
      <c r="AB31" s="474" t="str">
        <f>IF(0=Devices[[#This Row],[Input Type]], Devices[[#This Row],[Row Num]], " ")</f>
        <v xml:space="preserve"> </v>
      </c>
      <c r="AC31" s="474">
        <f>IFERROR(SMALL(Devices[Row Sel D], Devices[[#This Row],[Row Num]]), " ")</f>
        <v>31</v>
      </c>
      <c r="AD31" s="474">
        <f>IFERROR(SMALL(Devices[Row Sel SE], Devices[[#This Row],[Row Num]]), " ")</f>
        <v>86</v>
      </c>
      <c r="AE31" s="474" t="str">
        <f>IFERROR(SMALL(Devices[Row Sel N], Devices[[#This Row],[Row Num]]), " ")</f>
        <v xml:space="preserve"> </v>
      </c>
      <c r="AF31" s="474" t="str">
        <f>IFERROR(INDEX(Devices[Part], Devices[[#This Row],[Sel D]], 1), "")</f>
        <v>AMC0300D-Q1</v>
      </c>
      <c r="AG31" s="474">
        <f>IFERROR(INDEX(Devices[Part], Devices[[#This Row],[Sel SE]], 1), "")</f>
        <v>0</v>
      </c>
      <c r="AH31" s="474" t="str">
        <f>IFERROR(INDEX(Devices[Part], Devices[[#This Row],[Sel N]], 1), "")</f>
        <v/>
      </c>
      <c r="AJ31" s="378"/>
    </row>
    <row r="32" spans="1:36" s="465" customFormat="1" ht="15" customHeight="1">
      <c r="A32" s="405" t="s">
        <v>436</v>
      </c>
      <c r="B32" s="380" t="s">
        <v>46</v>
      </c>
      <c r="C32" s="371" t="s">
        <v>407</v>
      </c>
      <c r="D32" s="467">
        <v>4.0000000000000002E-4</v>
      </c>
      <c r="E32" s="467">
        <v>2.5000000000000001E-3</v>
      </c>
      <c r="F32" s="468">
        <v>5</v>
      </c>
      <c r="G32" s="468">
        <v>40</v>
      </c>
      <c r="H32" s="477">
        <v>0.01</v>
      </c>
      <c r="I32" s="477">
        <v>1.5</v>
      </c>
      <c r="J32" s="469">
        <v>2</v>
      </c>
      <c r="K32" s="469">
        <v>20</v>
      </c>
      <c r="L32" s="467">
        <v>1.2999999999999999E-4</v>
      </c>
      <c r="M32" s="467">
        <v>2.5000000000000001E-4</v>
      </c>
      <c r="N32" s="468">
        <v>1</v>
      </c>
      <c r="O32" s="468">
        <v>3</v>
      </c>
      <c r="P32" s="470">
        <v>1000</v>
      </c>
      <c r="Q32" s="476">
        <v>3.3</v>
      </c>
      <c r="R32" s="447">
        <v>-40</v>
      </c>
      <c r="S32" s="447">
        <v>125</v>
      </c>
      <c r="T32" s="471"/>
      <c r="U32" s="471">
        <v>2400000000</v>
      </c>
      <c r="V32" s="471">
        <v>2400000000</v>
      </c>
      <c r="W32" s="390">
        <v>3.3</v>
      </c>
      <c r="X32" s="473">
        <v>0.01</v>
      </c>
      <c r="Y32" s="474">
        <f t="shared" si="0"/>
        <v>26</v>
      </c>
      <c r="Z32" s="474">
        <f>IF(OR($AL$107=Devices[[#This Row],[Input Type]], 0=Devices[[#This Row],[Input Type]]),Devices[[#This Row],[Row Num]], " ")</f>
        <v>26</v>
      </c>
      <c r="AA32" s="474" t="str">
        <f>IF(OR($AL$108=Devices[[#This Row],[Input Type]], 0=Devices[[#This Row],[Input Type]]),Devices[[#This Row],[Row Num]], " ")</f>
        <v xml:space="preserve"> </v>
      </c>
      <c r="AB32" s="474" t="str">
        <f>IF(0=Devices[[#This Row],[Input Type]], Devices[[#This Row],[Row Num]], " ")</f>
        <v xml:space="preserve"> </v>
      </c>
      <c r="AC32" s="474">
        <f>IFERROR(SMALL(Devices[Row Sel D], Devices[[#This Row],[Row Num]]), " ")</f>
        <v>32</v>
      </c>
      <c r="AD32" s="474">
        <f>IFERROR(SMALL(Devices[Row Sel SE], Devices[[#This Row],[Row Num]]), " ")</f>
        <v>87</v>
      </c>
      <c r="AE32" s="474" t="str">
        <f>IFERROR(SMALL(Devices[Row Sel N], Devices[[#This Row],[Row Num]]), " ")</f>
        <v xml:space="preserve"> </v>
      </c>
      <c r="AF32" s="474" t="str">
        <f>IFERROR(INDEX(Devices[Part], Devices[[#This Row],[Sel D]], 1), "")</f>
        <v>AMC0300R (Vref = 3.3V)</v>
      </c>
      <c r="AG32" s="474">
        <f>IFERROR(INDEX(Devices[Part], Devices[[#This Row],[Sel SE]], 1), "")</f>
        <v>0</v>
      </c>
      <c r="AH32" s="474" t="str">
        <f>IFERROR(INDEX(Devices[Part], Devices[[#This Row],[Sel N]], 1), "")</f>
        <v/>
      </c>
      <c r="AJ32" s="378"/>
    </row>
    <row r="33" spans="1:36" s="465" customFormat="1" ht="15" customHeight="1">
      <c r="A33" s="405" t="s">
        <v>440</v>
      </c>
      <c r="B33" s="380" t="s">
        <v>46</v>
      </c>
      <c r="C33" s="371" t="s">
        <v>407</v>
      </c>
      <c r="D33" s="467">
        <v>4.0000000000000002E-4</v>
      </c>
      <c r="E33" s="467">
        <v>2.5000000000000001E-3</v>
      </c>
      <c r="F33" s="468">
        <v>5</v>
      </c>
      <c r="G33" s="468">
        <v>40</v>
      </c>
      <c r="H33" s="477">
        <v>0.01</v>
      </c>
      <c r="I33" s="477">
        <v>1.5</v>
      </c>
      <c r="J33" s="469">
        <v>2</v>
      </c>
      <c r="K33" s="469">
        <v>20</v>
      </c>
      <c r="L33" s="467">
        <v>1.2999999999999999E-4</v>
      </c>
      <c r="M33" s="467">
        <v>2.5000000000000001E-4</v>
      </c>
      <c r="N33" s="468">
        <v>1</v>
      </c>
      <c r="O33" s="468">
        <v>3</v>
      </c>
      <c r="P33" s="470">
        <v>1000</v>
      </c>
      <c r="Q33" s="476">
        <v>5</v>
      </c>
      <c r="R33" s="447">
        <v>-40</v>
      </c>
      <c r="S33" s="447">
        <v>125</v>
      </c>
      <c r="T33" s="471"/>
      <c r="U33" s="471">
        <v>2400000000</v>
      </c>
      <c r="V33" s="471">
        <v>2400000000</v>
      </c>
      <c r="W33" s="390">
        <v>5</v>
      </c>
      <c r="X33" s="473">
        <v>0.01</v>
      </c>
      <c r="Y33" s="474">
        <f t="shared" si="0"/>
        <v>27</v>
      </c>
      <c r="Z33" s="474">
        <f>IF(OR($AL$107=Devices[[#This Row],[Input Type]], 0=Devices[[#This Row],[Input Type]]),Devices[[#This Row],[Row Num]], " ")</f>
        <v>27</v>
      </c>
      <c r="AA33" s="474" t="str">
        <f>IF(OR($AL$108=Devices[[#This Row],[Input Type]], 0=Devices[[#This Row],[Input Type]]),Devices[[#This Row],[Row Num]], " ")</f>
        <v xml:space="preserve"> </v>
      </c>
      <c r="AB33" s="474" t="str">
        <f>IF(0=Devices[[#This Row],[Input Type]], Devices[[#This Row],[Row Num]], " ")</f>
        <v xml:space="preserve"> </v>
      </c>
      <c r="AC33" s="474">
        <f>IFERROR(SMALL(Devices[Row Sel D], Devices[[#This Row],[Row Num]]), " ")</f>
        <v>33</v>
      </c>
      <c r="AD33" s="474">
        <f>IFERROR(SMALL(Devices[Row Sel SE], Devices[[#This Row],[Row Num]]), " ")</f>
        <v>88</v>
      </c>
      <c r="AE33" s="474" t="str">
        <f>IFERROR(SMALL(Devices[Row Sel N], Devices[[#This Row],[Row Num]]), " ")</f>
        <v xml:space="preserve"> </v>
      </c>
      <c r="AF33" s="474" t="str">
        <f>IFERROR(INDEX(Devices[Part], Devices[[#This Row],[Sel D]], 1), "")</f>
        <v>AMC0300R (Vref = 5V)</v>
      </c>
      <c r="AG33" s="474">
        <f>IFERROR(INDEX(Devices[Part], Devices[[#This Row],[Sel SE]], 1), "")</f>
        <v>0</v>
      </c>
      <c r="AH33" s="474" t="str">
        <f>IFERROR(INDEX(Devices[Part], Devices[[#This Row],[Sel N]], 1), "")</f>
        <v/>
      </c>
      <c r="AJ33" s="378"/>
    </row>
    <row r="34" spans="1:36" s="465" customFormat="1" ht="15" customHeight="1">
      <c r="A34" s="405" t="s">
        <v>459</v>
      </c>
      <c r="B34" s="380" t="s">
        <v>46</v>
      </c>
      <c r="C34" s="371" t="s">
        <v>47</v>
      </c>
      <c r="D34" s="467">
        <v>4.0000000000000002E-4</v>
      </c>
      <c r="E34" s="467">
        <v>2.5000000000000001E-3</v>
      </c>
      <c r="F34" s="468">
        <v>5</v>
      </c>
      <c r="G34" s="468">
        <v>45</v>
      </c>
      <c r="H34" s="477">
        <v>0.1</v>
      </c>
      <c r="I34" s="477">
        <v>1.2</v>
      </c>
      <c r="J34" s="469">
        <v>2</v>
      </c>
      <c r="K34" s="469">
        <v>20</v>
      </c>
      <c r="L34" s="467">
        <v>1E-4</v>
      </c>
      <c r="M34" s="467">
        <v>2.5000000000000001E-4</v>
      </c>
      <c r="N34" s="468">
        <v>1</v>
      </c>
      <c r="O34" s="468">
        <v>3</v>
      </c>
      <c r="P34" s="470">
        <v>1000</v>
      </c>
      <c r="Q34" s="476">
        <v>2</v>
      </c>
      <c r="R34" s="447">
        <v>-40</v>
      </c>
      <c r="S34" s="447">
        <v>125</v>
      </c>
      <c r="T34" s="471"/>
      <c r="U34" s="471">
        <v>2400000000</v>
      </c>
      <c r="V34" s="472">
        <v>2400000000</v>
      </c>
      <c r="W34" s="390">
        <v>2</v>
      </c>
      <c r="X34" s="473">
        <v>0.01</v>
      </c>
      <c r="Y34" s="474">
        <f t="shared" si="0"/>
        <v>28</v>
      </c>
      <c r="Z34" s="474">
        <f>IF(OR($AL$107=Devices[[#This Row],[Input Type]], 0=Devices[[#This Row],[Input Type]]),Devices[[#This Row],[Row Num]], " ")</f>
        <v>28</v>
      </c>
      <c r="AA34" s="474" t="str">
        <f>IF(OR($AL$108=Devices[[#This Row],[Input Type]], 0=Devices[[#This Row],[Input Type]]),Devices[[#This Row],[Row Num]], " ")</f>
        <v xml:space="preserve"> </v>
      </c>
      <c r="AB34" s="474" t="str">
        <f>IF(0=Devices[[#This Row],[Input Type]], Devices[[#This Row],[Row Num]], " ")</f>
        <v xml:space="preserve"> </v>
      </c>
      <c r="AC34" s="474">
        <f>IFERROR(SMALL(Devices[Row Sel D], Devices[[#This Row],[Row Num]]), " ")</f>
        <v>34</v>
      </c>
      <c r="AD34" s="474">
        <f>IFERROR(SMALL(Devices[Row Sel SE], Devices[[#This Row],[Row Num]]), " ")</f>
        <v>89</v>
      </c>
      <c r="AE34" s="474" t="str">
        <f>IFERROR(SMALL(Devices[Row Sel N], Devices[[#This Row],[Row Num]]), " ")</f>
        <v xml:space="preserve"> </v>
      </c>
      <c r="AF34" s="474" t="str">
        <f>IFERROR(INDEX(Devices[Part], Devices[[#This Row],[Sel D]], 1), "")</f>
        <v>AMC0300R-Q1 (Vref = 3.3V)</v>
      </c>
      <c r="AG34" s="474">
        <f>IFERROR(INDEX(Devices[Part], Devices[[#This Row],[Sel SE]], 1), "")</f>
        <v>0</v>
      </c>
      <c r="AH34" s="474" t="str">
        <f>IFERROR(INDEX(Devices[Part], Devices[[#This Row],[Sel N]], 1), "")</f>
        <v/>
      </c>
      <c r="AJ34" s="378"/>
    </row>
    <row r="35" spans="1:36" s="465" customFormat="1" ht="15" customHeight="1">
      <c r="A35" s="405" t="s">
        <v>460</v>
      </c>
      <c r="B35" s="380" t="s">
        <v>46</v>
      </c>
      <c r="C35" s="371" t="s">
        <v>47</v>
      </c>
      <c r="D35" s="467">
        <v>4.0000000000000002E-4</v>
      </c>
      <c r="E35" s="467">
        <v>2.5000000000000001E-3</v>
      </c>
      <c r="F35" s="468">
        <v>5</v>
      </c>
      <c r="G35" s="468">
        <v>45</v>
      </c>
      <c r="H35" s="477">
        <v>0.1</v>
      </c>
      <c r="I35" s="477">
        <v>1.2</v>
      </c>
      <c r="J35" s="469">
        <v>2</v>
      </c>
      <c r="K35" s="469">
        <v>20</v>
      </c>
      <c r="L35" s="467">
        <v>1E-4</v>
      </c>
      <c r="M35" s="467">
        <v>2.5000000000000001E-4</v>
      </c>
      <c r="N35" s="468">
        <v>1</v>
      </c>
      <c r="O35" s="468">
        <v>3</v>
      </c>
      <c r="P35" s="470">
        <v>1000</v>
      </c>
      <c r="Q35" s="476">
        <v>2</v>
      </c>
      <c r="R35" s="447">
        <v>-40</v>
      </c>
      <c r="S35" s="447">
        <v>125</v>
      </c>
      <c r="T35" s="471"/>
      <c r="U35" s="471">
        <v>2400000000</v>
      </c>
      <c r="V35" s="472">
        <v>2400000000</v>
      </c>
      <c r="W35" s="390">
        <v>2</v>
      </c>
      <c r="X35" s="473">
        <v>0.01</v>
      </c>
      <c r="Y35" s="474">
        <f t="shared" si="0"/>
        <v>29</v>
      </c>
      <c r="Z35" s="474">
        <f>IF(OR($AL$107=Devices[[#This Row],[Input Type]], 0=Devices[[#This Row],[Input Type]]),Devices[[#This Row],[Row Num]], " ")</f>
        <v>29</v>
      </c>
      <c r="AA35" s="474" t="str">
        <f>IF(OR($AL$108=Devices[[#This Row],[Input Type]], 0=Devices[[#This Row],[Input Type]]),Devices[[#This Row],[Row Num]], " ")</f>
        <v xml:space="preserve"> </v>
      </c>
      <c r="AB35" s="474" t="str">
        <f>IF(0=Devices[[#This Row],[Input Type]], Devices[[#This Row],[Row Num]], " ")</f>
        <v xml:space="preserve"> </v>
      </c>
      <c r="AC35" s="474">
        <f>IFERROR(SMALL(Devices[Row Sel D], Devices[[#This Row],[Row Num]]), " ")</f>
        <v>35</v>
      </c>
      <c r="AD35" s="474">
        <f>IFERROR(SMALL(Devices[Row Sel SE], Devices[[#This Row],[Row Num]]), " ")</f>
        <v>90</v>
      </c>
      <c r="AE35" s="474" t="str">
        <f>IFERROR(SMALL(Devices[Row Sel N], Devices[[#This Row],[Row Num]]), " ")</f>
        <v xml:space="preserve"> </v>
      </c>
      <c r="AF35" s="474" t="str">
        <f>IFERROR(INDEX(Devices[Part], Devices[[#This Row],[Sel D]], 1), "")</f>
        <v>AMC0300R-Q1 (Vref = 5V)</v>
      </c>
      <c r="AG35" s="474">
        <f>IFERROR(INDEX(Devices[Part], Devices[[#This Row],[Sel SE]], 1), "")</f>
        <v>0</v>
      </c>
      <c r="AH35" s="474" t="str">
        <f>IFERROR(INDEX(Devices[Part], Devices[[#This Row],[Sel N]], 1), "")</f>
        <v/>
      </c>
      <c r="AJ35" s="378"/>
    </row>
    <row r="36" spans="1:36" s="465" customFormat="1" ht="15" customHeight="1">
      <c r="A36" s="405" t="s">
        <v>424</v>
      </c>
      <c r="B36" s="380" t="s">
        <v>46</v>
      </c>
      <c r="C36" s="371" t="s">
        <v>46</v>
      </c>
      <c r="D36" s="467">
        <v>4.0000000000000002E-4</v>
      </c>
      <c r="E36" s="467">
        <v>2.5000000000000001E-3</v>
      </c>
      <c r="F36" s="468">
        <v>5</v>
      </c>
      <c r="G36" s="468">
        <v>35</v>
      </c>
      <c r="H36" s="477">
        <v>0.01</v>
      </c>
      <c r="I36" s="477">
        <v>0.2</v>
      </c>
      <c r="J36" s="469">
        <v>0.25</v>
      </c>
      <c r="K36" s="469">
        <v>2</v>
      </c>
      <c r="L36" s="467">
        <v>1.2999999999999999E-4</v>
      </c>
      <c r="M36" s="467">
        <v>4.0000000000000002E-4</v>
      </c>
      <c r="N36" s="468">
        <v>1</v>
      </c>
      <c r="O36" s="468">
        <v>3</v>
      </c>
      <c r="P36" s="470">
        <v>250</v>
      </c>
      <c r="Q36" s="476">
        <v>2.0499999999999998</v>
      </c>
      <c r="R36" s="447">
        <v>-40</v>
      </c>
      <c r="S36" s="447">
        <v>125</v>
      </c>
      <c r="T36" s="471"/>
      <c r="U36" s="471">
        <v>27500</v>
      </c>
      <c r="V36" s="472">
        <v>27500</v>
      </c>
      <c r="W36" s="390">
        <v>8.1999999999999993</v>
      </c>
      <c r="X36" s="473">
        <v>0</v>
      </c>
      <c r="Y36" s="474">
        <f t="shared" si="0"/>
        <v>30</v>
      </c>
      <c r="Z36" s="474">
        <f>IF(OR($AL$107=Devices[[#This Row],[Input Type]], 0=Devices[[#This Row],[Input Type]]),Devices[[#This Row],[Row Num]], " ")</f>
        <v>30</v>
      </c>
      <c r="AA36" s="474" t="str">
        <f>IF(OR($AL$108=Devices[[#This Row],[Input Type]], 0=Devices[[#This Row],[Input Type]]),Devices[[#This Row],[Row Num]], " ")</f>
        <v xml:space="preserve"> </v>
      </c>
      <c r="AB36" s="474" t="str">
        <f>IF(0=Devices[[#This Row],[Input Type]], Devices[[#This Row],[Row Num]], " ")</f>
        <v xml:space="preserve"> </v>
      </c>
      <c r="AC36" s="474">
        <f>IFERROR(SMALL(Devices[Row Sel D], Devices[[#This Row],[Row Num]]), " ")</f>
        <v>36</v>
      </c>
      <c r="AD36" s="474">
        <f>IFERROR(SMALL(Devices[Row Sel SE], Devices[[#This Row],[Row Num]]), " ")</f>
        <v>91</v>
      </c>
      <c r="AE36" s="474" t="str">
        <f>IFERROR(SMALL(Devices[Row Sel N], Devices[[#This Row],[Row Num]]), " ")</f>
        <v xml:space="preserve"> </v>
      </c>
      <c r="AF36" s="474" t="str">
        <f>IFERROR(INDEX(Devices[Part], Devices[[#This Row],[Sel D]], 1), "")</f>
        <v>AMC0302D</v>
      </c>
      <c r="AG36" s="474">
        <f>IFERROR(INDEX(Devices[Part], Devices[[#This Row],[Sel SE]], 1), "")</f>
        <v>0</v>
      </c>
      <c r="AH36" s="474" t="str">
        <f>IFERROR(INDEX(Devices[Part], Devices[[#This Row],[Sel N]], 1), "")</f>
        <v/>
      </c>
      <c r="AJ36" s="378"/>
    </row>
    <row r="37" spans="1:36" s="465" customFormat="1" ht="15" customHeight="1">
      <c r="A37" s="405" t="s">
        <v>426</v>
      </c>
      <c r="B37" s="380" t="s">
        <v>46</v>
      </c>
      <c r="C37" s="371" t="s">
        <v>46</v>
      </c>
      <c r="D37" s="467">
        <v>4.0000000000000002E-4</v>
      </c>
      <c r="E37" s="467">
        <v>2.5000000000000001E-3</v>
      </c>
      <c r="F37" s="468">
        <v>5</v>
      </c>
      <c r="G37" s="468">
        <v>35</v>
      </c>
      <c r="H37" s="477">
        <v>0.01</v>
      </c>
      <c r="I37" s="477">
        <v>0.2</v>
      </c>
      <c r="J37" s="469">
        <v>0.25</v>
      </c>
      <c r="K37" s="469">
        <v>2</v>
      </c>
      <c r="L37" s="467">
        <v>1.2999999999999999E-4</v>
      </c>
      <c r="M37" s="467">
        <v>4.0000000000000002E-4</v>
      </c>
      <c r="N37" s="468">
        <v>1</v>
      </c>
      <c r="O37" s="468">
        <v>3</v>
      </c>
      <c r="P37" s="470">
        <v>250</v>
      </c>
      <c r="Q37" s="476">
        <v>2.0499999999999998</v>
      </c>
      <c r="R37" s="447">
        <v>-40</v>
      </c>
      <c r="S37" s="447">
        <v>125</v>
      </c>
      <c r="T37" s="471"/>
      <c r="U37" s="471">
        <v>27500</v>
      </c>
      <c r="V37" s="472">
        <v>27500</v>
      </c>
      <c r="W37" s="390">
        <v>8.1999999999999993</v>
      </c>
      <c r="X37" s="473">
        <v>0</v>
      </c>
      <c r="Y37" s="474">
        <f t="shared" si="0"/>
        <v>31</v>
      </c>
      <c r="Z37" s="474">
        <f>IF(OR($AL$107=Devices[[#This Row],[Input Type]], 0=Devices[[#This Row],[Input Type]]),Devices[[#This Row],[Row Num]], " ")</f>
        <v>31</v>
      </c>
      <c r="AA37" s="474" t="str">
        <f>IF(OR($AL$108=Devices[[#This Row],[Input Type]], 0=Devices[[#This Row],[Input Type]]),Devices[[#This Row],[Row Num]], " ")</f>
        <v xml:space="preserve"> </v>
      </c>
      <c r="AB37" s="474" t="str">
        <f>IF(0=Devices[[#This Row],[Input Type]], Devices[[#This Row],[Row Num]], " ")</f>
        <v xml:space="preserve"> </v>
      </c>
      <c r="AC37" s="474">
        <f>IFERROR(SMALL(Devices[Row Sel D], Devices[[#This Row],[Row Num]]), " ")</f>
        <v>37</v>
      </c>
      <c r="AD37" s="474">
        <f>IFERROR(SMALL(Devices[Row Sel SE], Devices[[#This Row],[Row Num]]), " ")</f>
        <v>92</v>
      </c>
      <c r="AE37" s="474" t="str">
        <f>IFERROR(SMALL(Devices[Row Sel N], Devices[[#This Row],[Row Num]]), " ")</f>
        <v xml:space="preserve"> </v>
      </c>
      <c r="AF37" s="474" t="str">
        <f>IFERROR(INDEX(Devices[Part], Devices[[#This Row],[Sel D]], 1), "")</f>
        <v>AMC0302D-Q1</v>
      </c>
      <c r="AG37" s="474">
        <f>IFERROR(INDEX(Devices[Part], Devices[[#This Row],[Sel SE]], 1), "")</f>
        <v>0</v>
      </c>
      <c r="AH37" s="474" t="str">
        <f>IFERROR(INDEX(Devices[Part], Devices[[#This Row],[Sel N]], 1), "")</f>
        <v/>
      </c>
      <c r="AJ37" s="378"/>
    </row>
    <row r="38" spans="1:36" s="465" customFormat="1" ht="15" customHeight="1">
      <c r="A38" s="405" t="s">
        <v>427</v>
      </c>
      <c r="B38" s="380" t="s">
        <v>46</v>
      </c>
      <c r="C38" s="371" t="s">
        <v>407</v>
      </c>
      <c r="D38" s="467">
        <v>4.0000000000000002E-4</v>
      </c>
      <c r="E38" s="467">
        <v>2.5000000000000001E-3</v>
      </c>
      <c r="F38" s="468">
        <v>5</v>
      </c>
      <c r="G38" s="468">
        <v>35</v>
      </c>
      <c r="H38" s="477">
        <v>0.01</v>
      </c>
      <c r="I38" s="477">
        <v>0.2</v>
      </c>
      <c r="J38" s="469">
        <v>0.25</v>
      </c>
      <c r="K38" s="469">
        <v>3</v>
      </c>
      <c r="L38" s="467">
        <v>1.2999999999999999E-4</v>
      </c>
      <c r="M38" s="467">
        <v>4.0000000000000001E-3</v>
      </c>
      <c r="N38" s="468">
        <v>1</v>
      </c>
      <c r="O38" s="468">
        <v>3</v>
      </c>
      <c r="P38" s="470">
        <v>250</v>
      </c>
      <c r="Q38" s="476">
        <v>3.3</v>
      </c>
      <c r="R38" s="447">
        <v>-40</v>
      </c>
      <c r="S38" s="447">
        <v>125</v>
      </c>
      <c r="T38" s="471"/>
      <c r="U38" s="471">
        <v>27500</v>
      </c>
      <c r="V38" s="472">
        <v>27500</v>
      </c>
      <c r="W38" s="390">
        <v>13.2</v>
      </c>
      <c r="X38" s="473">
        <v>0</v>
      </c>
      <c r="Y38" s="474">
        <f t="shared" si="0"/>
        <v>32</v>
      </c>
      <c r="Z38" s="474">
        <f>IF(OR($AL$107=Devices[[#This Row],[Input Type]], 0=Devices[[#This Row],[Input Type]]),Devices[[#This Row],[Row Num]], " ")</f>
        <v>32</v>
      </c>
      <c r="AA38" s="474" t="str">
        <f>IF(OR($AL$108=Devices[[#This Row],[Input Type]], 0=Devices[[#This Row],[Input Type]]),Devices[[#This Row],[Row Num]], " ")</f>
        <v xml:space="preserve"> </v>
      </c>
      <c r="AB38" s="474" t="str">
        <f>IF(0=Devices[[#This Row],[Input Type]], Devices[[#This Row],[Row Num]], " ")</f>
        <v xml:space="preserve"> </v>
      </c>
      <c r="AC38" s="474">
        <f>IFERROR(SMALL(Devices[Row Sel D], Devices[[#This Row],[Row Num]]), " ")</f>
        <v>38</v>
      </c>
      <c r="AD38" s="474">
        <f>IFERROR(SMALL(Devices[Row Sel SE], Devices[[#This Row],[Row Num]]), " ")</f>
        <v>93</v>
      </c>
      <c r="AE38" s="474" t="str">
        <f>IFERROR(SMALL(Devices[Row Sel N], Devices[[#This Row],[Row Num]]), " ")</f>
        <v xml:space="preserve"> </v>
      </c>
      <c r="AF38" s="474" t="str">
        <f>IFERROR(INDEX(Devices[Part], Devices[[#This Row],[Sel D]], 1), "")</f>
        <v>AMC0302R (Vref = 3.3V)</v>
      </c>
      <c r="AG38" s="474">
        <f>IFERROR(INDEX(Devices[Part], Devices[[#This Row],[Sel SE]], 1), "")</f>
        <v>0</v>
      </c>
      <c r="AH38" s="474" t="str">
        <f>IFERROR(INDEX(Devices[Part], Devices[[#This Row],[Sel N]], 1), "")</f>
        <v/>
      </c>
      <c r="AJ38" s="378"/>
    </row>
    <row r="39" spans="1:36" s="465" customFormat="1" ht="15" customHeight="1">
      <c r="A39" s="405" t="s">
        <v>433</v>
      </c>
      <c r="B39" s="380" t="s">
        <v>46</v>
      </c>
      <c r="C39" s="371" t="s">
        <v>407</v>
      </c>
      <c r="D39" s="467">
        <v>4.0000000000000002E-4</v>
      </c>
      <c r="E39" s="467">
        <v>2.5000000000000001E-3</v>
      </c>
      <c r="F39" s="468">
        <v>5</v>
      </c>
      <c r="G39" s="468">
        <v>35</v>
      </c>
      <c r="H39" s="477">
        <v>0.01</v>
      </c>
      <c r="I39" s="477">
        <v>0.2</v>
      </c>
      <c r="J39" s="469">
        <v>0.25</v>
      </c>
      <c r="K39" s="469">
        <v>3</v>
      </c>
      <c r="L39" s="467">
        <v>1.2999999999999999E-4</v>
      </c>
      <c r="M39" s="467">
        <v>4.0000000000000001E-3</v>
      </c>
      <c r="N39" s="468">
        <v>1</v>
      </c>
      <c r="O39" s="468">
        <v>3</v>
      </c>
      <c r="P39" s="470">
        <v>250</v>
      </c>
      <c r="Q39" s="476">
        <v>5</v>
      </c>
      <c r="R39" s="447">
        <v>-40</v>
      </c>
      <c r="S39" s="447">
        <v>125</v>
      </c>
      <c r="T39" s="471"/>
      <c r="U39" s="471">
        <v>27500</v>
      </c>
      <c r="V39" s="472">
        <v>27500</v>
      </c>
      <c r="W39" s="390">
        <v>20</v>
      </c>
      <c r="X39" s="473">
        <v>0</v>
      </c>
      <c r="Y39" s="474">
        <f t="shared" ref="Y39:Y70" si="1">ROW()-6</f>
        <v>33</v>
      </c>
      <c r="Z39" s="474">
        <f>IF(OR($AL$107=Devices[[#This Row],[Input Type]], 0=Devices[[#This Row],[Input Type]]),Devices[[#This Row],[Row Num]], " ")</f>
        <v>33</v>
      </c>
      <c r="AA39" s="474" t="str">
        <f>IF(OR($AL$108=Devices[[#This Row],[Input Type]], 0=Devices[[#This Row],[Input Type]]),Devices[[#This Row],[Row Num]], " ")</f>
        <v xml:space="preserve"> </v>
      </c>
      <c r="AB39" s="474" t="str">
        <f>IF(0=Devices[[#This Row],[Input Type]], Devices[[#This Row],[Row Num]], " ")</f>
        <v xml:space="preserve"> </v>
      </c>
      <c r="AC39" s="474">
        <f>IFERROR(SMALL(Devices[Row Sel D], Devices[[#This Row],[Row Num]]), " ")</f>
        <v>39</v>
      </c>
      <c r="AD39" s="474">
        <f>IFERROR(SMALL(Devices[Row Sel SE], Devices[[#This Row],[Row Num]]), " ")</f>
        <v>94</v>
      </c>
      <c r="AE39" s="474" t="str">
        <f>IFERROR(SMALL(Devices[Row Sel N], Devices[[#This Row],[Row Num]]), " ")</f>
        <v xml:space="preserve"> </v>
      </c>
      <c r="AF39" s="474" t="str">
        <f>IFERROR(INDEX(Devices[Part], Devices[[#This Row],[Sel D]], 1), "")</f>
        <v>AMC0302R (Vref = 5V)</v>
      </c>
      <c r="AG39" s="474">
        <f>IFERROR(INDEX(Devices[Part], Devices[[#This Row],[Sel SE]], 1), "")</f>
        <v>0</v>
      </c>
      <c r="AH39" s="474" t="str">
        <f>IFERROR(INDEX(Devices[Part], Devices[[#This Row],[Sel N]], 1), "")</f>
        <v/>
      </c>
      <c r="AJ39" s="378"/>
    </row>
    <row r="40" spans="1:36" s="465" customFormat="1" ht="15" customHeight="1">
      <c r="A40" s="405" t="s">
        <v>430</v>
      </c>
      <c r="B40" s="380" t="s">
        <v>46</v>
      </c>
      <c r="C40" s="371" t="s">
        <v>407</v>
      </c>
      <c r="D40" s="467">
        <v>4.0000000000000002E-4</v>
      </c>
      <c r="E40" s="467">
        <v>2.5000000000000001E-3</v>
      </c>
      <c r="F40" s="468">
        <v>5</v>
      </c>
      <c r="G40" s="468">
        <v>35</v>
      </c>
      <c r="H40" s="477">
        <v>0.01</v>
      </c>
      <c r="I40" s="477">
        <v>0.2</v>
      </c>
      <c r="J40" s="469">
        <v>0.25</v>
      </c>
      <c r="K40" s="469">
        <v>3</v>
      </c>
      <c r="L40" s="467">
        <v>1.2999999999999999E-4</v>
      </c>
      <c r="M40" s="467">
        <v>4.0000000000000001E-3</v>
      </c>
      <c r="N40" s="468">
        <v>1</v>
      </c>
      <c r="O40" s="468">
        <v>3</v>
      </c>
      <c r="P40" s="470">
        <v>250</v>
      </c>
      <c r="Q40" s="476">
        <v>3.3</v>
      </c>
      <c r="R40" s="447">
        <v>-40</v>
      </c>
      <c r="S40" s="447">
        <v>125</v>
      </c>
      <c r="T40" s="471"/>
      <c r="U40" s="471">
        <v>27500</v>
      </c>
      <c r="V40" s="472">
        <v>27500</v>
      </c>
      <c r="W40" s="390">
        <v>13.2</v>
      </c>
      <c r="X40" s="473">
        <v>0</v>
      </c>
      <c r="Y40" s="474">
        <f t="shared" si="1"/>
        <v>34</v>
      </c>
      <c r="Z40" s="474">
        <f>IF(OR($AL$107=Devices[[#This Row],[Input Type]], 0=Devices[[#This Row],[Input Type]]),Devices[[#This Row],[Row Num]], " ")</f>
        <v>34</v>
      </c>
      <c r="AA40" s="474" t="str">
        <f>IF(OR($AL$108=Devices[[#This Row],[Input Type]], 0=Devices[[#This Row],[Input Type]]),Devices[[#This Row],[Row Num]], " ")</f>
        <v xml:space="preserve"> </v>
      </c>
      <c r="AB40" s="474" t="str">
        <f>IF(0=Devices[[#This Row],[Input Type]], Devices[[#This Row],[Row Num]], " ")</f>
        <v xml:space="preserve"> </v>
      </c>
      <c r="AC40" s="474">
        <f>IFERROR(SMALL(Devices[Row Sel D], Devices[[#This Row],[Row Num]]), " ")</f>
        <v>40</v>
      </c>
      <c r="AD40" s="474">
        <f>IFERROR(SMALL(Devices[Row Sel SE], Devices[[#This Row],[Row Num]]), " ")</f>
        <v>95</v>
      </c>
      <c r="AE40" s="474" t="str">
        <f>IFERROR(SMALL(Devices[Row Sel N], Devices[[#This Row],[Row Num]]), " ")</f>
        <v xml:space="preserve"> </v>
      </c>
      <c r="AF40" s="474" t="str">
        <f>IFERROR(INDEX(Devices[Part], Devices[[#This Row],[Sel D]], 1), "")</f>
        <v>AMC0302R-Q1 (Vref = 3.3V)</v>
      </c>
      <c r="AG40" s="474">
        <f>IFERROR(INDEX(Devices[Part], Devices[[#This Row],[Sel SE]], 1), "")</f>
        <v>0</v>
      </c>
      <c r="AH40" s="474" t="str">
        <f>IFERROR(INDEX(Devices[Part], Devices[[#This Row],[Sel N]], 1), "")</f>
        <v/>
      </c>
      <c r="AJ40" s="378"/>
    </row>
    <row r="41" spans="1:36" s="465" customFormat="1" ht="15" customHeight="1">
      <c r="A41" s="405" t="s">
        <v>434</v>
      </c>
      <c r="B41" s="380" t="s">
        <v>46</v>
      </c>
      <c r="C41" s="371" t="s">
        <v>407</v>
      </c>
      <c r="D41" s="467">
        <v>4.0000000000000002E-4</v>
      </c>
      <c r="E41" s="467">
        <v>2.5000000000000001E-3</v>
      </c>
      <c r="F41" s="468">
        <v>5</v>
      </c>
      <c r="G41" s="468">
        <v>35</v>
      </c>
      <c r="H41" s="477">
        <v>0.01</v>
      </c>
      <c r="I41" s="477">
        <v>0.2</v>
      </c>
      <c r="J41" s="469">
        <v>0.25</v>
      </c>
      <c r="K41" s="469">
        <v>3</v>
      </c>
      <c r="L41" s="467">
        <v>1.2999999999999999E-4</v>
      </c>
      <c r="M41" s="467">
        <v>4.0000000000000001E-3</v>
      </c>
      <c r="N41" s="468">
        <v>1</v>
      </c>
      <c r="O41" s="468">
        <v>3</v>
      </c>
      <c r="P41" s="470">
        <v>250</v>
      </c>
      <c r="Q41" s="476">
        <v>5</v>
      </c>
      <c r="R41" s="447">
        <v>-40</v>
      </c>
      <c r="S41" s="447">
        <v>125</v>
      </c>
      <c r="T41" s="471"/>
      <c r="U41" s="471">
        <v>27500</v>
      </c>
      <c r="V41" s="472">
        <v>27500</v>
      </c>
      <c r="W41" s="390">
        <v>20</v>
      </c>
      <c r="X41" s="473">
        <v>0</v>
      </c>
      <c r="Y41" s="474">
        <f t="shared" si="1"/>
        <v>35</v>
      </c>
      <c r="Z41" s="474">
        <f>IF(OR($AL$107=Devices[[#This Row],[Input Type]], 0=Devices[[#This Row],[Input Type]]),Devices[[#This Row],[Row Num]], " ")</f>
        <v>35</v>
      </c>
      <c r="AA41" s="474" t="str">
        <f>IF(OR($AL$108=Devices[[#This Row],[Input Type]], 0=Devices[[#This Row],[Input Type]]),Devices[[#This Row],[Row Num]], " ")</f>
        <v xml:space="preserve"> </v>
      </c>
      <c r="AB41" s="474" t="str">
        <f>IF(0=Devices[[#This Row],[Input Type]], Devices[[#This Row],[Row Num]], " ")</f>
        <v xml:space="preserve"> </v>
      </c>
      <c r="AC41" s="474">
        <f>IFERROR(SMALL(Devices[Row Sel D], Devices[[#This Row],[Row Num]]), " ")</f>
        <v>41</v>
      </c>
      <c r="AD41" s="474">
        <f>IFERROR(SMALL(Devices[Row Sel SE], Devices[[#This Row],[Row Num]]), " ")</f>
        <v>96</v>
      </c>
      <c r="AE41" s="474" t="str">
        <f>IFERROR(SMALL(Devices[Row Sel N], Devices[[#This Row],[Row Num]]), " ")</f>
        <v xml:space="preserve"> </v>
      </c>
      <c r="AF41" s="474" t="str">
        <f>IFERROR(INDEX(Devices[Part], Devices[[#This Row],[Sel D]], 1), "")</f>
        <v>AMC0302R-Q1 (Vref = 5V)</v>
      </c>
      <c r="AG41" s="474">
        <f>IFERROR(INDEX(Devices[Part], Devices[[#This Row],[Sel SE]], 1), "")</f>
        <v>0</v>
      </c>
      <c r="AH41" s="474" t="str">
        <f>IFERROR(INDEX(Devices[Part], Devices[[#This Row],[Sel N]], 1), "")</f>
        <v/>
      </c>
      <c r="AJ41" s="378"/>
    </row>
    <row r="42" spans="1:36" s="465" customFormat="1" ht="15" customHeight="1">
      <c r="A42" s="405" t="s">
        <v>445</v>
      </c>
      <c r="B42" s="380" t="s">
        <v>46</v>
      </c>
      <c r="C42" s="371" t="s">
        <v>46</v>
      </c>
      <c r="D42" s="467">
        <v>4.0000000000000002E-4</v>
      </c>
      <c r="E42" s="467">
        <v>2E-3</v>
      </c>
      <c r="F42" s="468">
        <v>5</v>
      </c>
      <c r="G42" s="468">
        <v>45</v>
      </c>
      <c r="H42" s="477">
        <v>4.0000000000000001E-3</v>
      </c>
      <c r="I42" s="477">
        <v>0.05</v>
      </c>
      <c r="J42" s="469">
        <v>0.1</v>
      </c>
      <c r="K42" s="469">
        <v>0.9</v>
      </c>
      <c r="L42" s="467">
        <v>1.2999999999999999E-4</v>
      </c>
      <c r="M42" s="467">
        <v>4.0000000000000002E-4</v>
      </c>
      <c r="N42" s="468">
        <v>1</v>
      </c>
      <c r="O42" s="468">
        <v>3</v>
      </c>
      <c r="P42" s="470">
        <v>50</v>
      </c>
      <c r="Q42" s="476">
        <v>2.0499999999999998</v>
      </c>
      <c r="R42" s="447">
        <v>-40</v>
      </c>
      <c r="S42" s="447">
        <v>125</v>
      </c>
      <c r="T42" s="471"/>
      <c r="U42" s="471">
        <v>6300</v>
      </c>
      <c r="V42" s="472">
        <v>6300</v>
      </c>
      <c r="W42" s="390">
        <v>41</v>
      </c>
      <c r="X42" s="473">
        <v>0</v>
      </c>
      <c r="Y42" s="474">
        <f t="shared" si="1"/>
        <v>36</v>
      </c>
      <c r="Z42" s="474">
        <f>IF(OR($AL$107=Devices[[#This Row],[Input Type]], 0=Devices[[#This Row],[Input Type]]),Devices[[#This Row],[Row Num]], " ")</f>
        <v>36</v>
      </c>
      <c r="AA42" s="474" t="str">
        <f>IF(OR($AL$108=Devices[[#This Row],[Input Type]], 0=Devices[[#This Row],[Input Type]]),Devices[[#This Row],[Row Num]], " ")</f>
        <v xml:space="preserve"> </v>
      </c>
      <c r="AB42" s="474" t="str">
        <f>IF(0=Devices[[#This Row],[Input Type]], Devices[[#This Row],[Row Num]], " ")</f>
        <v xml:space="preserve"> </v>
      </c>
      <c r="AC42" s="474">
        <f>IFERROR(SMALL(Devices[Row Sel D], Devices[[#This Row],[Row Num]]), " ")</f>
        <v>48</v>
      </c>
      <c r="AD42" s="474">
        <f>IFERROR(SMALL(Devices[Row Sel SE], Devices[[#This Row],[Row Num]]), " ")</f>
        <v>97</v>
      </c>
      <c r="AE42" s="474" t="str">
        <f>IFERROR(SMALL(Devices[Row Sel N], Devices[[#This Row],[Row Num]]), " ")</f>
        <v xml:space="preserve"> </v>
      </c>
      <c r="AF42" s="474" t="str">
        <f>IFERROR(INDEX(Devices[Part], Devices[[#This Row],[Sel D]], 1), "")</f>
        <v>AMC0330D</v>
      </c>
      <c r="AG42" s="474">
        <f>IFERROR(INDEX(Devices[Part], Devices[[#This Row],[Sel SE]], 1), "")</f>
        <v>0</v>
      </c>
      <c r="AH42" s="474" t="str">
        <f>IFERROR(INDEX(Devices[Part], Devices[[#This Row],[Sel N]], 1), "")</f>
        <v/>
      </c>
      <c r="AJ42" s="378"/>
    </row>
    <row r="43" spans="1:36" s="465" customFormat="1" ht="15" customHeight="1">
      <c r="A43" s="405" t="s">
        <v>446</v>
      </c>
      <c r="B43" s="380" t="s">
        <v>46</v>
      </c>
      <c r="C43" s="371" t="s">
        <v>46</v>
      </c>
      <c r="D43" s="467">
        <v>4.0000000000000002E-4</v>
      </c>
      <c r="E43" s="467">
        <v>2E-3</v>
      </c>
      <c r="F43" s="468">
        <v>5</v>
      </c>
      <c r="G43" s="468">
        <v>45</v>
      </c>
      <c r="H43" s="477">
        <v>4.0000000000000001E-3</v>
      </c>
      <c r="I43" s="477">
        <v>0.05</v>
      </c>
      <c r="J43" s="469">
        <v>0.1</v>
      </c>
      <c r="K43" s="469">
        <v>0.9</v>
      </c>
      <c r="L43" s="467">
        <v>1.2999999999999999E-4</v>
      </c>
      <c r="M43" s="467">
        <v>4.0000000000000002E-4</v>
      </c>
      <c r="N43" s="468">
        <v>1</v>
      </c>
      <c r="O43" s="468">
        <v>3</v>
      </c>
      <c r="P43" s="470">
        <v>50</v>
      </c>
      <c r="Q43" s="476">
        <v>2.0499999999999998</v>
      </c>
      <c r="R43" s="447">
        <v>-40</v>
      </c>
      <c r="S43" s="447">
        <v>125</v>
      </c>
      <c r="T43" s="471"/>
      <c r="U43" s="471">
        <v>6300</v>
      </c>
      <c r="V43" s="472">
        <v>6300</v>
      </c>
      <c r="W43" s="390">
        <v>41</v>
      </c>
      <c r="X43" s="473">
        <v>0</v>
      </c>
      <c r="Y43" s="474">
        <f t="shared" si="1"/>
        <v>37</v>
      </c>
      <c r="Z43" s="474">
        <f>IF(OR($AL$107=Devices[[#This Row],[Input Type]], 0=Devices[[#This Row],[Input Type]]),Devices[[#This Row],[Row Num]], " ")</f>
        <v>37</v>
      </c>
      <c r="AA43" s="474" t="str">
        <f>IF(OR($AL$108=Devices[[#This Row],[Input Type]], 0=Devices[[#This Row],[Input Type]]),Devices[[#This Row],[Row Num]], " ")</f>
        <v xml:space="preserve"> </v>
      </c>
      <c r="AB43" s="474" t="str">
        <f>IF(0=Devices[[#This Row],[Input Type]], Devices[[#This Row],[Row Num]], " ")</f>
        <v xml:space="preserve"> </v>
      </c>
      <c r="AC43" s="474">
        <f>IFERROR(SMALL(Devices[Row Sel D], Devices[[#This Row],[Row Num]]), " ")</f>
        <v>49</v>
      </c>
      <c r="AD43" s="474">
        <f>IFERROR(SMALL(Devices[Row Sel SE], Devices[[#This Row],[Row Num]]), " ")</f>
        <v>98</v>
      </c>
      <c r="AE43" s="474" t="str">
        <f>IFERROR(SMALL(Devices[Row Sel N], Devices[[#This Row],[Row Num]]), " ")</f>
        <v xml:space="preserve"> </v>
      </c>
      <c r="AF43" s="474" t="str">
        <f>IFERROR(INDEX(Devices[Part], Devices[[#This Row],[Sel D]], 1), "")</f>
        <v>AMC0330D-Q1</v>
      </c>
      <c r="AG43" s="474">
        <f>IFERROR(INDEX(Devices[Part], Devices[[#This Row],[Sel SE]], 1), "")</f>
        <v>0</v>
      </c>
      <c r="AH43" s="474" t="str">
        <f>IFERROR(INDEX(Devices[Part], Devices[[#This Row],[Sel N]], 1), "")</f>
        <v/>
      </c>
      <c r="AJ43" s="378"/>
    </row>
    <row r="44" spans="1:36" s="465" customFormat="1" ht="15" customHeight="1">
      <c r="A44" s="405" t="s">
        <v>449</v>
      </c>
      <c r="B44" s="380" t="s">
        <v>46</v>
      </c>
      <c r="C44" s="371" t="s">
        <v>407</v>
      </c>
      <c r="D44" s="467">
        <v>4.0000000000000002E-4</v>
      </c>
      <c r="E44" s="467">
        <v>2E-3</v>
      </c>
      <c r="F44" s="468">
        <v>5</v>
      </c>
      <c r="G44" s="468">
        <v>45</v>
      </c>
      <c r="H44" s="477">
        <v>4.0000000000000001E-3</v>
      </c>
      <c r="I44" s="477">
        <v>0.05</v>
      </c>
      <c r="J44" s="469">
        <v>0.15</v>
      </c>
      <c r="K44" s="469">
        <v>1</v>
      </c>
      <c r="L44" s="467">
        <v>1.3300000000000001E-4</v>
      </c>
      <c r="M44" s="467">
        <v>4.0000000000000002E-4</v>
      </c>
      <c r="N44" s="468">
        <v>1</v>
      </c>
      <c r="O44" s="468">
        <v>3</v>
      </c>
      <c r="P44" s="470">
        <v>50</v>
      </c>
      <c r="Q44" s="476">
        <v>3.3</v>
      </c>
      <c r="R44" s="447">
        <v>-40</v>
      </c>
      <c r="S44" s="447">
        <v>125</v>
      </c>
      <c r="T44" s="471"/>
      <c r="U44" s="471">
        <v>6300</v>
      </c>
      <c r="V44" s="472">
        <v>6300</v>
      </c>
      <c r="W44" s="390">
        <v>66</v>
      </c>
      <c r="X44" s="473">
        <v>0</v>
      </c>
      <c r="Y44" s="474">
        <f t="shared" si="1"/>
        <v>38</v>
      </c>
      <c r="Z44" s="474">
        <f>IF(OR($AL$107=Devices[[#This Row],[Input Type]], 0=Devices[[#This Row],[Input Type]]),Devices[[#This Row],[Row Num]], " ")</f>
        <v>38</v>
      </c>
      <c r="AA44" s="474" t="str">
        <f>IF(OR($AL$108=Devices[[#This Row],[Input Type]], 0=Devices[[#This Row],[Input Type]]),Devices[[#This Row],[Row Num]], " ")</f>
        <v xml:space="preserve"> </v>
      </c>
      <c r="AB44" s="474" t="str">
        <f>IF(0=Devices[[#This Row],[Input Type]], Devices[[#This Row],[Row Num]], " ")</f>
        <v xml:space="preserve"> </v>
      </c>
      <c r="AC44" s="474">
        <f>IFERROR(SMALL(Devices[Row Sel D], Devices[[#This Row],[Row Num]]), " ")</f>
        <v>50</v>
      </c>
      <c r="AD44" s="474">
        <f>IFERROR(SMALL(Devices[Row Sel SE], Devices[[#This Row],[Row Num]]), " ")</f>
        <v>99</v>
      </c>
      <c r="AE44" s="474" t="str">
        <f>IFERROR(SMALL(Devices[Row Sel N], Devices[[#This Row],[Row Num]]), " ")</f>
        <v xml:space="preserve"> </v>
      </c>
      <c r="AF44" s="474" t="str">
        <f>IFERROR(INDEX(Devices[Part], Devices[[#This Row],[Sel D]], 1), "")</f>
        <v>AMC0330R (Vref = 3.3V)</v>
      </c>
      <c r="AG44" s="474">
        <f>IFERROR(INDEX(Devices[Part], Devices[[#This Row],[Sel SE]], 1), "")</f>
        <v>0</v>
      </c>
      <c r="AH44" s="474" t="str">
        <f>IFERROR(INDEX(Devices[Part], Devices[[#This Row],[Sel N]], 1), "")</f>
        <v/>
      </c>
      <c r="AJ44" s="378"/>
    </row>
    <row r="45" spans="1:36" s="465" customFormat="1" ht="15" customHeight="1">
      <c r="A45" s="405" t="s">
        <v>453</v>
      </c>
      <c r="B45" s="380" t="s">
        <v>46</v>
      </c>
      <c r="C45" s="371" t="s">
        <v>407</v>
      </c>
      <c r="D45" s="467">
        <v>4.0000000000000002E-4</v>
      </c>
      <c r="E45" s="467">
        <v>2E-3</v>
      </c>
      <c r="F45" s="468">
        <v>5</v>
      </c>
      <c r="G45" s="468">
        <v>45</v>
      </c>
      <c r="H45" s="477">
        <v>4.0000000000000001E-3</v>
      </c>
      <c r="I45" s="477">
        <v>0.05</v>
      </c>
      <c r="J45" s="469">
        <v>0.15</v>
      </c>
      <c r="K45" s="469">
        <v>1</v>
      </c>
      <c r="L45" s="467">
        <v>1.3300000000000001E-4</v>
      </c>
      <c r="M45" s="467">
        <v>4.0000000000000002E-4</v>
      </c>
      <c r="N45" s="468">
        <v>1</v>
      </c>
      <c r="O45" s="468">
        <v>3</v>
      </c>
      <c r="P45" s="470">
        <v>50</v>
      </c>
      <c r="Q45" s="476">
        <v>5</v>
      </c>
      <c r="R45" s="447">
        <v>-40</v>
      </c>
      <c r="S45" s="447">
        <v>125</v>
      </c>
      <c r="T45" s="471"/>
      <c r="U45" s="471">
        <v>6300</v>
      </c>
      <c r="V45" s="472">
        <v>6300</v>
      </c>
      <c r="W45" s="390">
        <v>100</v>
      </c>
      <c r="X45" s="473">
        <v>0</v>
      </c>
      <c r="Y45" s="474">
        <f t="shared" si="1"/>
        <v>39</v>
      </c>
      <c r="Z45" s="474">
        <f>IF(OR($AL$107=Devices[[#This Row],[Input Type]], 0=Devices[[#This Row],[Input Type]]),Devices[[#This Row],[Row Num]], " ")</f>
        <v>39</v>
      </c>
      <c r="AA45" s="474" t="str">
        <f>IF(OR($AL$108=Devices[[#This Row],[Input Type]], 0=Devices[[#This Row],[Input Type]]),Devices[[#This Row],[Row Num]], " ")</f>
        <v xml:space="preserve"> </v>
      </c>
      <c r="AB45" s="474" t="str">
        <f>IF(0=Devices[[#This Row],[Input Type]], Devices[[#This Row],[Row Num]], " ")</f>
        <v xml:space="preserve"> </v>
      </c>
      <c r="AC45" s="474">
        <f>IFERROR(SMALL(Devices[Row Sel D], Devices[[#This Row],[Row Num]]), " ")</f>
        <v>51</v>
      </c>
      <c r="AD45" s="474" t="str">
        <f>IFERROR(SMALL(Devices[Row Sel SE], Devices[[#This Row],[Row Num]]), " ")</f>
        <v xml:space="preserve"> </v>
      </c>
      <c r="AE45" s="474" t="str">
        <f>IFERROR(SMALL(Devices[Row Sel N], Devices[[#This Row],[Row Num]]), " ")</f>
        <v xml:space="preserve"> </v>
      </c>
      <c r="AF45" s="474" t="str">
        <f>IFERROR(INDEX(Devices[Part], Devices[[#This Row],[Sel D]], 1), "")</f>
        <v>AMC0330R (Vref = 5V)</v>
      </c>
      <c r="AG45" s="474" t="str">
        <f>IFERROR(INDEX(Devices[Part], Devices[[#This Row],[Sel SE]], 1), "")</f>
        <v/>
      </c>
      <c r="AH45" s="474" t="str">
        <f>IFERROR(INDEX(Devices[Part], Devices[[#This Row],[Sel N]], 1), "")</f>
        <v/>
      </c>
      <c r="AJ45" s="378"/>
    </row>
    <row r="46" spans="1:36" s="465" customFormat="1" ht="15" customHeight="1">
      <c r="A46" s="405" t="s">
        <v>450</v>
      </c>
      <c r="B46" s="380" t="s">
        <v>46</v>
      </c>
      <c r="C46" s="371" t="s">
        <v>407</v>
      </c>
      <c r="D46" s="467">
        <v>4.0000000000000002E-4</v>
      </c>
      <c r="E46" s="467">
        <v>2E-3</v>
      </c>
      <c r="F46" s="468">
        <v>5</v>
      </c>
      <c r="G46" s="468">
        <v>45</v>
      </c>
      <c r="H46" s="477">
        <v>4.0000000000000001E-3</v>
      </c>
      <c r="I46" s="477">
        <v>0.05</v>
      </c>
      <c r="J46" s="469">
        <v>0.15</v>
      </c>
      <c r="K46" s="469">
        <v>1</v>
      </c>
      <c r="L46" s="467">
        <v>1.3300000000000001E-4</v>
      </c>
      <c r="M46" s="467">
        <v>4.0000000000000002E-4</v>
      </c>
      <c r="N46" s="468">
        <v>1</v>
      </c>
      <c r="O46" s="468">
        <v>3</v>
      </c>
      <c r="P46" s="470">
        <v>50</v>
      </c>
      <c r="Q46" s="476">
        <v>3.3</v>
      </c>
      <c r="R46" s="447">
        <v>-40</v>
      </c>
      <c r="S46" s="447">
        <v>125</v>
      </c>
      <c r="T46" s="471"/>
      <c r="U46" s="471">
        <v>6300</v>
      </c>
      <c r="V46" s="472">
        <v>6300</v>
      </c>
      <c r="W46" s="390">
        <v>66</v>
      </c>
      <c r="X46" s="473">
        <v>0</v>
      </c>
      <c r="Y46" s="474">
        <f t="shared" si="1"/>
        <v>40</v>
      </c>
      <c r="Z46" s="474">
        <f>IF(OR($AL$107=Devices[[#This Row],[Input Type]], 0=Devices[[#This Row],[Input Type]]),Devices[[#This Row],[Row Num]], " ")</f>
        <v>40</v>
      </c>
      <c r="AA46" s="474" t="str">
        <f>IF(OR($AL$108=Devices[[#This Row],[Input Type]], 0=Devices[[#This Row],[Input Type]]),Devices[[#This Row],[Row Num]], " ")</f>
        <v xml:space="preserve"> </v>
      </c>
      <c r="AB46" s="474" t="str">
        <f>IF(0=Devices[[#This Row],[Input Type]], Devices[[#This Row],[Row Num]], " ")</f>
        <v xml:space="preserve"> </v>
      </c>
      <c r="AC46" s="474">
        <f>IFERROR(SMALL(Devices[Row Sel D], Devices[[#This Row],[Row Num]]), " ")</f>
        <v>52</v>
      </c>
      <c r="AD46" s="474" t="str">
        <f>IFERROR(SMALL(Devices[Row Sel SE], Devices[[#This Row],[Row Num]]), " ")</f>
        <v xml:space="preserve"> </v>
      </c>
      <c r="AE46" s="474" t="str">
        <f>IFERROR(SMALL(Devices[Row Sel N], Devices[[#This Row],[Row Num]]), " ")</f>
        <v xml:space="preserve"> </v>
      </c>
      <c r="AF46" s="474" t="str">
        <f>IFERROR(INDEX(Devices[Part], Devices[[#This Row],[Sel D]], 1), "")</f>
        <v>AMC0330R-Q1 (Vref = 3.3V)</v>
      </c>
      <c r="AG46" s="474" t="str">
        <f>IFERROR(INDEX(Devices[Part], Devices[[#This Row],[Sel SE]], 1), "")</f>
        <v/>
      </c>
      <c r="AH46" s="474" t="str">
        <f>IFERROR(INDEX(Devices[Part], Devices[[#This Row],[Sel N]], 1), "")</f>
        <v/>
      </c>
      <c r="AJ46" s="378"/>
    </row>
    <row r="47" spans="1:36" s="465" customFormat="1" ht="15" customHeight="1">
      <c r="A47" s="405" t="s">
        <v>454</v>
      </c>
      <c r="B47" s="380" t="s">
        <v>46</v>
      </c>
      <c r="C47" s="371" t="s">
        <v>407</v>
      </c>
      <c r="D47" s="467">
        <v>4.0000000000000002E-4</v>
      </c>
      <c r="E47" s="467">
        <v>2E-3</v>
      </c>
      <c r="F47" s="468">
        <v>5</v>
      </c>
      <c r="G47" s="468">
        <v>45</v>
      </c>
      <c r="H47" s="477">
        <v>4.0000000000000001E-3</v>
      </c>
      <c r="I47" s="477">
        <v>0.05</v>
      </c>
      <c r="J47" s="469">
        <v>0.15</v>
      </c>
      <c r="K47" s="469">
        <v>1</v>
      </c>
      <c r="L47" s="467">
        <v>1.3300000000000001E-4</v>
      </c>
      <c r="M47" s="467">
        <v>4.0000000000000002E-4</v>
      </c>
      <c r="N47" s="468">
        <v>1</v>
      </c>
      <c r="O47" s="468">
        <v>3</v>
      </c>
      <c r="P47" s="470">
        <v>50</v>
      </c>
      <c r="Q47" s="476">
        <v>5</v>
      </c>
      <c r="R47" s="447">
        <v>-40</v>
      </c>
      <c r="S47" s="447">
        <v>125</v>
      </c>
      <c r="T47" s="471"/>
      <c r="U47" s="471">
        <v>6300</v>
      </c>
      <c r="V47" s="472">
        <v>6300</v>
      </c>
      <c r="W47" s="390">
        <v>100</v>
      </c>
      <c r="X47" s="473">
        <v>0</v>
      </c>
      <c r="Y47" s="474">
        <f t="shared" si="1"/>
        <v>41</v>
      </c>
      <c r="Z47" s="474">
        <f>IF(OR($AL$107=Devices[[#This Row],[Input Type]], 0=Devices[[#This Row],[Input Type]]),Devices[[#This Row],[Row Num]], " ")</f>
        <v>41</v>
      </c>
      <c r="AA47" s="474" t="str">
        <f>IF(OR($AL$108=Devices[[#This Row],[Input Type]], 0=Devices[[#This Row],[Input Type]]),Devices[[#This Row],[Row Num]], " ")</f>
        <v xml:space="preserve"> </v>
      </c>
      <c r="AB47" s="474" t="str">
        <f>IF(0=Devices[[#This Row],[Input Type]], Devices[[#This Row],[Row Num]], " ")</f>
        <v xml:space="preserve"> </v>
      </c>
      <c r="AC47" s="474">
        <f>IFERROR(SMALL(Devices[Row Sel D], Devices[[#This Row],[Row Num]]), " ")</f>
        <v>53</v>
      </c>
      <c r="AD47" s="474" t="str">
        <f>IFERROR(SMALL(Devices[Row Sel SE], Devices[[#This Row],[Row Num]]), " ")</f>
        <v xml:space="preserve"> </v>
      </c>
      <c r="AE47" s="474" t="str">
        <f>IFERROR(SMALL(Devices[Row Sel N], Devices[[#This Row],[Row Num]]), " ")</f>
        <v xml:space="preserve"> </v>
      </c>
      <c r="AF47" s="474" t="str">
        <f>IFERROR(INDEX(Devices[Part], Devices[[#This Row],[Sel D]], 1), "")</f>
        <v>AMC0330R-Q1 (Vref = 5V)</v>
      </c>
      <c r="AG47" s="474" t="str">
        <f>IFERROR(INDEX(Devices[Part], Devices[[#This Row],[Sel SE]], 1), "")</f>
        <v/>
      </c>
      <c r="AH47" s="474" t="str">
        <f>IFERROR(INDEX(Devices[Part], Devices[[#This Row],[Sel N]], 1), "")</f>
        <v/>
      </c>
      <c r="AJ47" s="378"/>
    </row>
    <row r="48" spans="1:36" s="465" customFormat="1" ht="15" customHeight="1">
      <c r="A48" s="405" t="s">
        <v>403</v>
      </c>
      <c r="B48" s="380" t="s">
        <v>47</v>
      </c>
      <c r="C48" s="371" t="s">
        <v>46</v>
      </c>
      <c r="D48" s="438">
        <v>4.0000000000000002E-4</v>
      </c>
      <c r="E48" s="438">
        <v>2.5000000000000001E-3</v>
      </c>
      <c r="F48" s="439">
        <v>5</v>
      </c>
      <c r="G48" s="439">
        <v>50</v>
      </c>
      <c r="H48" s="478">
        <v>0.1</v>
      </c>
      <c r="I48" s="478">
        <v>0.8</v>
      </c>
      <c r="J48" s="440">
        <v>1</v>
      </c>
      <c r="K48" s="440">
        <v>10</v>
      </c>
      <c r="L48" s="445">
        <v>2.0000000000000002E-5</v>
      </c>
      <c r="M48" s="445">
        <v>3.5E-4</v>
      </c>
      <c r="N48" s="439">
        <v>1</v>
      </c>
      <c r="O48" s="439">
        <v>3</v>
      </c>
      <c r="P48" s="441">
        <v>2000</v>
      </c>
      <c r="Q48" s="476">
        <v>2</v>
      </c>
      <c r="R48" s="447">
        <v>-40</v>
      </c>
      <c r="S48" s="447">
        <v>125</v>
      </c>
      <c r="T48" s="442"/>
      <c r="U48" s="442">
        <v>2400000000</v>
      </c>
      <c r="V48" s="443">
        <v>2400000000</v>
      </c>
      <c r="W48" s="390">
        <v>1</v>
      </c>
      <c r="X48" s="448">
        <v>3.0000000000000001E-3</v>
      </c>
      <c r="Y48" s="444">
        <f t="shared" si="1"/>
        <v>42</v>
      </c>
      <c r="Z48" s="444" t="str">
        <f>IF(OR($AL$107=Devices[[#This Row],[Input Type]], 0=Devices[[#This Row],[Input Type]]),Devices[[#This Row],[Row Num]], " ")</f>
        <v xml:space="preserve"> </v>
      </c>
      <c r="AA48" s="444">
        <f>IF(OR($AL$108=Devices[[#This Row],[Input Type]], 0=Devices[[#This Row],[Input Type]]),Devices[[#This Row],[Row Num]], " ")</f>
        <v>42</v>
      </c>
      <c r="AB48" s="444" t="str">
        <f>IF(0=Devices[[#This Row],[Input Type]], Devices[[#This Row],[Row Num]], " ")</f>
        <v xml:space="preserve"> </v>
      </c>
      <c r="AC48" s="444">
        <f>IFERROR(SMALL(Devices[Row Sel D], Devices[[#This Row],[Row Num]]), " ")</f>
        <v>54</v>
      </c>
      <c r="AD48" s="444" t="str">
        <f>IFERROR(SMALL(Devices[Row Sel SE], Devices[[#This Row],[Row Num]]), " ")</f>
        <v xml:space="preserve"> </v>
      </c>
      <c r="AE48" s="444" t="str">
        <f>IFERROR(SMALL(Devices[Row Sel N], Devices[[#This Row],[Row Num]]), " ")</f>
        <v xml:space="preserve"> </v>
      </c>
      <c r="AF48" s="444" t="str">
        <f>IFERROR(INDEX(Devices[Part], Devices[[#This Row],[Sel D]], 1), "")</f>
        <v>AMC0330S</v>
      </c>
      <c r="AG48" s="444" t="str">
        <f>IFERROR(INDEX(Devices[Part], Devices[[#This Row],[Sel SE]], 1), "")</f>
        <v/>
      </c>
      <c r="AH48" s="444" t="str">
        <f>IFERROR(INDEX(Devices[Part], Devices[[#This Row],[Sel N]], 1), "")</f>
        <v/>
      </c>
      <c r="AJ48" s="378"/>
    </row>
    <row r="49" spans="1:36" s="465" customFormat="1" ht="15" customHeight="1">
      <c r="A49" s="405" t="s">
        <v>404</v>
      </c>
      <c r="B49" s="380" t="s">
        <v>47</v>
      </c>
      <c r="C49" s="371" t="s">
        <v>46</v>
      </c>
      <c r="D49" s="438">
        <v>4.0000000000000002E-4</v>
      </c>
      <c r="E49" s="438">
        <v>2.5000000000000001E-3</v>
      </c>
      <c r="F49" s="439">
        <v>5</v>
      </c>
      <c r="G49" s="439">
        <v>50</v>
      </c>
      <c r="H49" s="478">
        <v>0.1</v>
      </c>
      <c r="I49" s="478">
        <v>0.8</v>
      </c>
      <c r="J49" s="440">
        <v>1</v>
      </c>
      <c r="K49" s="440">
        <v>10</v>
      </c>
      <c r="L49" s="445">
        <v>2.0000000000000002E-5</v>
      </c>
      <c r="M49" s="445">
        <v>3.5E-4</v>
      </c>
      <c r="N49" s="439">
        <v>1</v>
      </c>
      <c r="O49" s="439">
        <v>3</v>
      </c>
      <c r="P49" s="441">
        <v>2000</v>
      </c>
      <c r="Q49" s="476">
        <v>2</v>
      </c>
      <c r="R49" s="447">
        <v>-40</v>
      </c>
      <c r="S49" s="447">
        <v>125</v>
      </c>
      <c r="T49" s="442"/>
      <c r="U49" s="442">
        <v>2400000000</v>
      </c>
      <c r="V49" s="443">
        <v>2400000000</v>
      </c>
      <c r="W49" s="390">
        <v>1</v>
      </c>
      <c r="X49" s="448">
        <v>3.0000000000000001E-3</v>
      </c>
      <c r="Y49" s="444">
        <f t="shared" si="1"/>
        <v>43</v>
      </c>
      <c r="Z49" s="444" t="str">
        <f>IF(OR($AL$107=Devices[[#This Row],[Input Type]], 0=Devices[[#This Row],[Input Type]]),Devices[[#This Row],[Row Num]], " ")</f>
        <v xml:space="preserve"> </v>
      </c>
      <c r="AA49" s="444">
        <f>IF(OR($AL$108=Devices[[#This Row],[Input Type]], 0=Devices[[#This Row],[Input Type]]),Devices[[#This Row],[Row Num]], " ")</f>
        <v>43</v>
      </c>
      <c r="AB49" s="444" t="str">
        <f>IF(0=Devices[[#This Row],[Input Type]], Devices[[#This Row],[Row Num]], " ")</f>
        <v xml:space="preserve"> </v>
      </c>
      <c r="AC49" s="444">
        <f>IFERROR(SMALL(Devices[Row Sel D], Devices[[#This Row],[Row Num]]), " ")</f>
        <v>55</v>
      </c>
      <c r="AD49" s="444" t="str">
        <f>IFERROR(SMALL(Devices[Row Sel SE], Devices[[#This Row],[Row Num]]), " ")</f>
        <v xml:space="preserve"> </v>
      </c>
      <c r="AE49" s="444" t="str">
        <f>IFERROR(SMALL(Devices[Row Sel N], Devices[[#This Row],[Row Num]]), " ")</f>
        <v xml:space="preserve"> </v>
      </c>
      <c r="AF49" s="444" t="str">
        <f>IFERROR(INDEX(Devices[Part], Devices[[#This Row],[Sel D]], 1), "")</f>
        <v>AMC0330S-Q1</v>
      </c>
      <c r="AG49" s="444" t="str">
        <f>IFERROR(INDEX(Devices[Part], Devices[[#This Row],[Sel SE]], 1), "")</f>
        <v/>
      </c>
      <c r="AH49" s="444" t="str">
        <f>IFERROR(INDEX(Devices[Part], Devices[[#This Row],[Sel N]], 1), "")</f>
        <v/>
      </c>
      <c r="AJ49" s="378"/>
    </row>
    <row r="50" spans="1:36" s="465" customFormat="1" ht="15" customHeight="1">
      <c r="A50" s="405" t="s">
        <v>408</v>
      </c>
      <c r="B50" s="380" t="s">
        <v>47</v>
      </c>
      <c r="C50" s="371" t="s">
        <v>407</v>
      </c>
      <c r="D50" s="438">
        <v>4.0000000000000002E-4</v>
      </c>
      <c r="E50" s="438">
        <v>2.5000000000000001E-3</v>
      </c>
      <c r="F50" s="439">
        <v>5</v>
      </c>
      <c r="G50" s="439">
        <v>40</v>
      </c>
      <c r="H50" s="478">
        <v>0.15</v>
      </c>
      <c r="I50" s="478">
        <v>1.5</v>
      </c>
      <c r="J50" s="440">
        <v>3</v>
      </c>
      <c r="K50" s="440">
        <v>30</v>
      </c>
      <c r="L50" s="445">
        <v>2.0000000000000002E-5</v>
      </c>
      <c r="M50" s="399">
        <v>8.0000000000000004E-4</v>
      </c>
      <c r="N50" s="439">
        <v>1</v>
      </c>
      <c r="O50" s="439">
        <v>3</v>
      </c>
      <c r="P50" s="441">
        <v>2250</v>
      </c>
      <c r="Q50" s="476">
        <v>3.3</v>
      </c>
      <c r="R50" s="447">
        <v>-40</v>
      </c>
      <c r="S50" s="447">
        <v>125</v>
      </c>
      <c r="T50" s="442"/>
      <c r="U50" s="442">
        <v>2400000000</v>
      </c>
      <c r="V50" s="443">
        <v>2400000000</v>
      </c>
      <c r="W50" s="390">
        <f>3.3/2.56</f>
        <v>1.2890625</v>
      </c>
      <c r="X50" s="448">
        <v>3.0000000000000001E-3</v>
      </c>
      <c r="Y50" s="444">
        <f t="shared" si="1"/>
        <v>44</v>
      </c>
      <c r="Z50" s="444" t="str">
        <f>IF(OR($AL$107=Devices[[#This Row],[Input Type]], 0=Devices[[#This Row],[Input Type]]),Devices[[#This Row],[Row Num]], " ")</f>
        <v xml:space="preserve"> </v>
      </c>
      <c r="AA50" s="444">
        <f>IF(OR($AL$108=Devices[[#This Row],[Input Type]], 0=Devices[[#This Row],[Input Type]]),Devices[[#This Row],[Row Num]], " ")</f>
        <v>44</v>
      </c>
      <c r="AB50" s="444" t="str">
        <f>IF(0=Devices[[#This Row],[Input Type]], Devices[[#This Row],[Row Num]], " ")</f>
        <v xml:space="preserve"> </v>
      </c>
      <c r="AC50" s="444">
        <f>IFERROR(SMALL(Devices[Row Sel D], Devices[[#This Row],[Row Num]]), " ")</f>
        <v>56</v>
      </c>
      <c r="AD50" s="444" t="str">
        <f>IFERROR(SMALL(Devices[Row Sel SE], Devices[[#This Row],[Row Num]]), " ")</f>
        <v xml:space="preserve"> </v>
      </c>
      <c r="AE50" s="444" t="str">
        <f>IFERROR(SMALL(Devices[Row Sel N], Devices[[#This Row],[Row Num]]), " ")</f>
        <v xml:space="preserve"> </v>
      </c>
      <c r="AF50" s="444" t="str">
        <f>IFERROR(INDEX(Devices[Part], Devices[[#This Row],[Sel D]], 1), "")</f>
        <v>AMC1200C</v>
      </c>
      <c r="AG50" s="444" t="str">
        <f>IFERROR(INDEX(Devices[Part], Devices[[#This Row],[Sel SE]], 1), "")</f>
        <v/>
      </c>
      <c r="AH50" s="444" t="str">
        <f>IFERROR(INDEX(Devices[Part], Devices[[#This Row],[Sel N]], 1), "")</f>
        <v/>
      </c>
      <c r="AJ50" s="378"/>
    </row>
    <row r="51" spans="1:36" s="465" customFormat="1" ht="15" customHeight="1">
      <c r="A51" s="405" t="s">
        <v>409</v>
      </c>
      <c r="B51" s="380" t="s">
        <v>47</v>
      </c>
      <c r="C51" s="371" t="s">
        <v>407</v>
      </c>
      <c r="D51" s="438">
        <v>4.0000000000000002E-4</v>
      </c>
      <c r="E51" s="438">
        <v>2.5000000000000001E-3</v>
      </c>
      <c r="F51" s="439">
        <v>5</v>
      </c>
      <c r="G51" s="439">
        <v>40</v>
      </c>
      <c r="H51" s="478">
        <v>0.15</v>
      </c>
      <c r="I51" s="478">
        <v>1.5</v>
      </c>
      <c r="J51" s="440">
        <v>3</v>
      </c>
      <c r="K51" s="440">
        <v>30</v>
      </c>
      <c r="L51" s="445">
        <v>2.0000000000000002E-5</v>
      </c>
      <c r="M51" s="399">
        <v>8.0000000000000004E-4</v>
      </c>
      <c r="N51" s="439">
        <v>1</v>
      </c>
      <c r="O51" s="439">
        <v>3</v>
      </c>
      <c r="P51" s="441">
        <v>2250</v>
      </c>
      <c r="Q51" s="476">
        <v>5</v>
      </c>
      <c r="R51" s="447">
        <v>-40</v>
      </c>
      <c r="S51" s="447">
        <v>125</v>
      </c>
      <c r="T51" s="442"/>
      <c r="U51" s="442">
        <v>2400000000</v>
      </c>
      <c r="V51" s="443">
        <v>2400000000</v>
      </c>
      <c r="W51" s="390">
        <v>2.5</v>
      </c>
      <c r="X51" s="448">
        <v>3.0000000000000001E-3</v>
      </c>
      <c r="Y51" s="444">
        <f t="shared" si="1"/>
        <v>45</v>
      </c>
      <c r="Z51" s="444" t="str">
        <f>IF(OR($AL$107=Devices[[#This Row],[Input Type]], 0=Devices[[#This Row],[Input Type]]),Devices[[#This Row],[Row Num]], " ")</f>
        <v xml:space="preserve"> </v>
      </c>
      <c r="AA51" s="444">
        <f>IF(OR($AL$108=Devices[[#This Row],[Input Type]], 0=Devices[[#This Row],[Input Type]]),Devices[[#This Row],[Row Num]], " ")</f>
        <v>45</v>
      </c>
      <c r="AB51" s="444" t="str">
        <f>IF(0=Devices[[#This Row],[Input Type]], Devices[[#This Row],[Row Num]], " ")</f>
        <v xml:space="preserve"> </v>
      </c>
      <c r="AC51" s="444">
        <f>IFERROR(SMALL(Devices[Row Sel D], Devices[[#This Row],[Row Num]]), " ")</f>
        <v>57</v>
      </c>
      <c r="AD51" s="444" t="str">
        <f>IFERROR(SMALL(Devices[Row Sel SE], Devices[[#This Row],[Row Num]]), " ")</f>
        <v xml:space="preserve"> </v>
      </c>
      <c r="AE51" s="444" t="str">
        <f>IFERROR(SMALL(Devices[Row Sel N], Devices[[#This Row],[Row Num]]), " ")</f>
        <v xml:space="preserve"> </v>
      </c>
      <c r="AF51" s="444" t="str">
        <f>IFERROR(INDEX(Devices[Part], Devices[[#This Row],[Sel D]], 1), "")</f>
        <v>AMC1202</v>
      </c>
      <c r="AG51" s="444" t="str">
        <f>IFERROR(INDEX(Devices[Part], Devices[[#This Row],[Sel SE]], 1), "")</f>
        <v/>
      </c>
      <c r="AH51" s="444" t="str">
        <f>IFERROR(INDEX(Devices[Part], Devices[[#This Row],[Sel N]], 1), "")</f>
        <v/>
      </c>
      <c r="AJ51" s="378"/>
    </row>
    <row r="52" spans="1:36" s="465" customFormat="1" ht="15" customHeight="1">
      <c r="A52" s="405" t="s">
        <v>405</v>
      </c>
      <c r="B52" s="380" t="s">
        <v>47</v>
      </c>
      <c r="C52" s="371" t="s">
        <v>47</v>
      </c>
      <c r="D52" s="438">
        <v>4.0000000000000002E-4</v>
      </c>
      <c r="E52" s="438">
        <v>2.5000000000000001E-3</v>
      </c>
      <c r="F52" s="439">
        <v>5</v>
      </c>
      <c r="G52" s="439">
        <v>50</v>
      </c>
      <c r="H52" s="478">
        <v>0.15</v>
      </c>
      <c r="I52" s="478">
        <v>1</v>
      </c>
      <c r="J52" s="440">
        <v>3</v>
      </c>
      <c r="K52" s="440">
        <v>30</v>
      </c>
      <c r="L52" s="445">
        <v>2.0000000000000002E-5</v>
      </c>
      <c r="M52" s="438">
        <v>8.0000000000000004E-4</v>
      </c>
      <c r="N52" s="439">
        <v>1</v>
      </c>
      <c r="O52" s="439">
        <v>3</v>
      </c>
      <c r="P52" s="441">
        <v>2250</v>
      </c>
      <c r="Q52" s="476">
        <v>2.25</v>
      </c>
      <c r="R52" s="447">
        <v>-40</v>
      </c>
      <c r="S52" s="447">
        <v>125</v>
      </c>
      <c r="T52" s="442"/>
      <c r="U52" s="442">
        <v>2400000000</v>
      </c>
      <c r="V52" s="443">
        <v>2400000000</v>
      </c>
      <c r="W52" s="390">
        <v>1</v>
      </c>
      <c r="X52" s="448">
        <v>3.0000000000000001E-3</v>
      </c>
      <c r="Y52" s="444">
        <f t="shared" si="1"/>
        <v>46</v>
      </c>
      <c r="Z52" s="444" t="str">
        <f>IF(OR($AL$107=Devices[[#This Row],[Input Type]], 0=Devices[[#This Row],[Input Type]]),Devices[[#This Row],[Row Num]], " ")</f>
        <v xml:space="preserve"> </v>
      </c>
      <c r="AA52" s="444">
        <f>IF(OR($AL$108=Devices[[#This Row],[Input Type]], 0=Devices[[#This Row],[Input Type]]),Devices[[#This Row],[Row Num]], " ")</f>
        <v>46</v>
      </c>
      <c r="AB52" s="444" t="str">
        <f>IF(0=Devices[[#This Row],[Input Type]], Devices[[#This Row],[Row Num]], " ")</f>
        <v xml:space="preserve"> </v>
      </c>
      <c r="AC52" s="444">
        <f>IFERROR(SMALL(Devices[Row Sel D], Devices[[#This Row],[Row Num]]), " ")</f>
        <v>59</v>
      </c>
      <c r="AD52" s="444" t="str">
        <f>IFERROR(SMALL(Devices[Row Sel SE], Devices[[#This Row],[Row Num]]), " ")</f>
        <v xml:space="preserve"> </v>
      </c>
      <c r="AE52" s="444" t="str">
        <f>IFERROR(SMALL(Devices[Row Sel N], Devices[[#This Row],[Row Num]]), " ")</f>
        <v xml:space="preserve"> </v>
      </c>
      <c r="AF52" s="444" t="str">
        <f>IFERROR(INDEX(Devices[Part], Devices[[#This Row],[Sel D]], 1), "")</f>
        <v>AMC1300</v>
      </c>
      <c r="AG52" s="444" t="str">
        <f>IFERROR(INDEX(Devices[Part], Devices[[#This Row],[Sel SE]], 1), "")</f>
        <v/>
      </c>
      <c r="AH52" s="444" t="str">
        <f>IFERROR(INDEX(Devices[Part], Devices[[#This Row],[Sel N]], 1), "")</f>
        <v/>
      </c>
      <c r="AJ52" s="378"/>
    </row>
    <row r="53" spans="1:36" s="465" customFormat="1" ht="15" customHeight="1">
      <c r="A53" s="405" t="s">
        <v>406</v>
      </c>
      <c r="B53" s="380" t="s">
        <v>47</v>
      </c>
      <c r="C53" s="371" t="s">
        <v>47</v>
      </c>
      <c r="D53" s="438">
        <v>4.0000000000000002E-4</v>
      </c>
      <c r="E53" s="438">
        <v>2.5000000000000001E-3</v>
      </c>
      <c r="F53" s="439">
        <v>5</v>
      </c>
      <c r="G53" s="439">
        <v>50</v>
      </c>
      <c r="H53" s="478">
        <v>0.15</v>
      </c>
      <c r="I53" s="478">
        <v>1</v>
      </c>
      <c r="J53" s="440">
        <v>3</v>
      </c>
      <c r="K53" s="440">
        <v>30</v>
      </c>
      <c r="L53" s="445">
        <v>2.0000000000000002E-5</v>
      </c>
      <c r="M53" s="438">
        <v>8.0000000000000004E-4</v>
      </c>
      <c r="N53" s="439">
        <v>1</v>
      </c>
      <c r="O53" s="439">
        <v>3</v>
      </c>
      <c r="P53" s="441">
        <v>2250</v>
      </c>
      <c r="Q53" s="476">
        <v>2.25</v>
      </c>
      <c r="R53" s="447">
        <v>-40</v>
      </c>
      <c r="S53" s="447">
        <v>125</v>
      </c>
      <c r="T53" s="442"/>
      <c r="U53" s="442">
        <v>2400000000</v>
      </c>
      <c r="V53" s="443">
        <v>2400000000</v>
      </c>
      <c r="W53" s="390">
        <v>1</v>
      </c>
      <c r="X53" s="448">
        <v>3.0000000000000001E-3</v>
      </c>
      <c r="Y53" s="444">
        <f t="shared" si="1"/>
        <v>47</v>
      </c>
      <c r="Z53" s="444" t="str">
        <f>IF(OR($AL$107=Devices[[#This Row],[Input Type]], 0=Devices[[#This Row],[Input Type]]),Devices[[#This Row],[Row Num]], " ")</f>
        <v xml:space="preserve"> </v>
      </c>
      <c r="AA53" s="444">
        <f>IF(OR($AL$108=Devices[[#This Row],[Input Type]], 0=Devices[[#This Row],[Input Type]]),Devices[[#This Row],[Row Num]], " ")</f>
        <v>47</v>
      </c>
      <c r="AB53" s="444" t="str">
        <f>IF(0=Devices[[#This Row],[Input Type]], Devices[[#This Row],[Row Num]], " ")</f>
        <v xml:space="preserve"> </v>
      </c>
      <c r="AC53" s="444">
        <f>IFERROR(SMALL(Devices[Row Sel D], Devices[[#This Row],[Row Num]]), " ")</f>
        <v>60</v>
      </c>
      <c r="AD53" s="444" t="str">
        <f>IFERROR(SMALL(Devices[Row Sel SE], Devices[[#This Row],[Row Num]]), " ")</f>
        <v xml:space="preserve"> </v>
      </c>
      <c r="AE53" s="444" t="str">
        <f>IFERROR(SMALL(Devices[Row Sel N], Devices[[#This Row],[Row Num]]), " ")</f>
        <v xml:space="preserve"> </v>
      </c>
      <c r="AF53" s="444" t="str">
        <f>IFERROR(INDEX(Devices[Part], Devices[[#This Row],[Sel D]], 1), "")</f>
        <v>AMC1300B</v>
      </c>
      <c r="AG53" s="444" t="str">
        <f>IFERROR(INDEX(Devices[Part], Devices[[#This Row],[Sel SE]], 1), "")</f>
        <v/>
      </c>
      <c r="AH53" s="444" t="str">
        <f>IFERROR(INDEX(Devices[Part], Devices[[#This Row],[Sel N]], 1), "")</f>
        <v/>
      </c>
      <c r="AJ53" s="378"/>
    </row>
    <row r="54" spans="1:36" s="465" customFormat="1" ht="15" customHeight="1">
      <c r="A54" s="405" t="s">
        <v>457</v>
      </c>
      <c r="B54" s="380" t="s">
        <v>46</v>
      </c>
      <c r="C54" s="371" t="s">
        <v>46</v>
      </c>
      <c r="D54" s="467">
        <v>4.0000000000000002E-4</v>
      </c>
      <c r="E54" s="467">
        <v>2.5000000000000001E-3</v>
      </c>
      <c r="F54" s="468">
        <v>5</v>
      </c>
      <c r="G54" s="468">
        <v>40</v>
      </c>
      <c r="H54" s="477">
        <v>0.1</v>
      </c>
      <c r="I54" s="477">
        <v>0.8</v>
      </c>
      <c r="J54" s="469">
        <v>1</v>
      </c>
      <c r="K54" s="469">
        <v>10</v>
      </c>
      <c r="L54" s="467">
        <v>1E-4</v>
      </c>
      <c r="M54" s="467">
        <v>2.5000000000000001E-4</v>
      </c>
      <c r="N54" s="468">
        <v>1</v>
      </c>
      <c r="O54" s="468">
        <v>3</v>
      </c>
      <c r="P54" s="470">
        <v>1000</v>
      </c>
      <c r="Q54" s="476">
        <v>2</v>
      </c>
      <c r="R54" s="447">
        <v>-40</v>
      </c>
      <c r="S54" s="447">
        <v>125</v>
      </c>
      <c r="T54" s="471"/>
      <c r="U54" s="471">
        <v>2400000000</v>
      </c>
      <c r="V54" s="472">
        <v>2400000000</v>
      </c>
      <c r="W54" s="390">
        <v>2</v>
      </c>
      <c r="X54" s="473">
        <v>0.01</v>
      </c>
      <c r="Y54" s="474">
        <f t="shared" si="1"/>
        <v>48</v>
      </c>
      <c r="Z54" s="474">
        <f>IF(OR($AL$107=Devices[[#This Row],[Input Type]], 0=Devices[[#This Row],[Input Type]]),Devices[[#This Row],[Row Num]], " ")</f>
        <v>48</v>
      </c>
      <c r="AA54" s="474" t="str">
        <f>IF(OR($AL$108=Devices[[#This Row],[Input Type]], 0=Devices[[#This Row],[Input Type]]),Devices[[#This Row],[Row Num]], " ")</f>
        <v xml:space="preserve"> </v>
      </c>
      <c r="AB54" s="474" t="str">
        <f>IF(0=Devices[[#This Row],[Input Type]], Devices[[#This Row],[Row Num]], " ")</f>
        <v xml:space="preserve"> </v>
      </c>
      <c r="AC54" s="474">
        <f>IFERROR(SMALL(Devices[Row Sel D], Devices[[#This Row],[Row Num]]), " ")</f>
        <v>61</v>
      </c>
      <c r="AD54" s="474" t="str">
        <f>IFERROR(SMALL(Devices[Row Sel SE], Devices[[#This Row],[Row Num]]), " ")</f>
        <v xml:space="preserve"> </v>
      </c>
      <c r="AE54" s="474" t="str">
        <f>IFERROR(SMALL(Devices[Row Sel N], Devices[[#This Row],[Row Num]]), " ")</f>
        <v xml:space="preserve"> </v>
      </c>
      <c r="AF54" s="474" t="str">
        <f>IFERROR(INDEX(Devices[Part], Devices[[#This Row],[Sel D]], 1), "")</f>
        <v>AMC1300B-Q1</v>
      </c>
      <c r="AG54" s="474" t="str">
        <f>IFERROR(INDEX(Devices[Part], Devices[[#This Row],[Sel SE]], 1), "")</f>
        <v/>
      </c>
      <c r="AH54" s="474" t="str">
        <f>IFERROR(INDEX(Devices[Part], Devices[[#This Row],[Sel N]], 1), "")</f>
        <v/>
      </c>
      <c r="AJ54" s="378"/>
    </row>
    <row r="55" spans="1:36" s="465" customFormat="1" ht="15" customHeight="1">
      <c r="A55" s="405" t="s">
        <v>458</v>
      </c>
      <c r="B55" s="380" t="s">
        <v>46</v>
      </c>
      <c r="C55" s="371" t="s">
        <v>46</v>
      </c>
      <c r="D55" s="467">
        <v>4.0000000000000002E-4</v>
      </c>
      <c r="E55" s="467">
        <v>2.5000000000000001E-3</v>
      </c>
      <c r="F55" s="468">
        <v>5</v>
      </c>
      <c r="G55" s="468">
        <v>40</v>
      </c>
      <c r="H55" s="477">
        <v>0.1</v>
      </c>
      <c r="I55" s="477">
        <v>0.8</v>
      </c>
      <c r="J55" s="469">
        <v>1</v>
      </c>
      <c r="K55" s="469">
        <v>10</v>
      </c>
      <c r="L55" s="467">
        <v>1E-4</v>
      </c>
      <c r="M55" s="467">
        <v>2.5000000000000001E-4</v>
      </c>
      <c r="N55" s="468">
        <v>1</v>
      </c>
      <c r="O55" s="468">
        <v>3</v>
      </c>
      <c r="P55" s="470">
        <v>1000</v>
      </c>
      <c r="Q55" s="476">
        <v>2</v>
      </c>
      <c r="R55" s="447">
        <v>-40</v>
      </c>
      <c r="S55" s="447">
        <v>125</v>
      </c>
      <c r="T55" s="471"/>
      <c r="U55" s="471">
        <v>2400000000</v>
      </c>
      <c r="V55" s="472">
        <v>2400000000</v>
      </c>
      <c r="W55" s="390">
        <v>2</v>
      </c>
      <c r="X55" s="473">
        <v>0.01</v>
      </c>
      <c r="Y55" s="474">
        <f t="shared" si="1"/>
        <v>49</v>
      </c>
      <c r="Z55" s="474">
        <f>IF(OR($AL$107=Devices[[#This Row],[Input Type]], 0=Devices[[#This Row],[Input Type]]),Devices[[#This Row],[Row Num]], " ")</f>
        <v>49</v>
      </c>
      <c r="AA55" s="474" t="str">
        <f>IF(OR($AL$108=Devices[[#This Row],[Input Type]], 0=Devices[[#This Row],[Input Type]]),Devices[[#This Row],[Row Num]], " ")</f>
        <v xml:space="preserve"> </v>
      </c>
      <c r="AB55" s="474" t="str">
        <f>IF(0=Devices[[#This Row],[Input Type]], Devices[[#This Row],[Row Num]], " ")</f>
        <v xml:space="preserve"> </v>
      </c>
      <c r="AC55" s="474">
        <f>IFERROR(SMALL(Devices[Row Sel D], Devices[[#This Row],[Row Num]]), " ")</f>
        <v>62</v>
      </c>
      <c r="AD55" s="474" t="str">
        <f>IFERROR(SMALL(Devices[Row Sel SE], Devices[[#This Row],[Row Num]]), " ")</f>
        <v xml:space="preserve"> </v>
      </c>
      <c r="AE55" s="474" t="str">
        <f>IFERROR(SMALL(Devices[Row Sel N], Devices[[#This Row],[Row Num]]), " ")</f>
        <v xml:space="preserve"> </v>
      </c>
      <c r="AF55" s="474" t="str">
        <f>IFERROR(INDEX(Devices[Part], Devices[[#This Row],[Sel D]], 1), "")</f>
        <v>AMC1300-Q1</v>
      </c>
      <c r="AG55" s="474" t="str">
        <f>IFERROR(INDEX(Devices[Part], Devices[[#This Row],[Sel SE]], 1), "")</f>
        <v/>
      </c>
      <c r="AH55" s="474" t="str">
        <f>IFERROR(INDEX(Devices[Part], Devices[[#This Row],[Sel N]], 1), "")</f>
        <v/>
      </c>
      <c r="AJ55" s="378"/>
    </row>
    <row r="56" spans="1:36" s="465" customFormat="1" ht="15" customHeight="1">
      <c r="A56" s="405" t="s">
        <v>437</v>
      </c>
      <c r="B56" s="380" t="s">
        <v>46</v>
      </c>
      <c r="C56" s="371" t="s">
        <v>407</v>
      </c>
      <c r="D56" s="467">
        <v>4.0000000000000002E-4</v>
      </c>
      <c r="E56" s="467">
        <v>2.5000000000000001E-3</v>
      </c>
      <c r="F56" s="468">
        <v>5</v>
      </c>
      <c r="G56" s="468">
        <v>40</v>
      </c>
      <c r="H56" s="477">
        <v>0.01</v>
      </c>
      <c r="I56" s="477">
        <v>1.5</v>
      </c>
      <c r="J56" s="469">
        <v>2</v>
      </c>
      <c r="K56" s="469">
        <v>20</v>
      </c>
      <c r="L56" s="467">
        <v>1.2999999999999999E-4</v>
      </c>
      <c r="M56" s="467">
        <v>2.5000000000000001E-4</v>
      </c>
      <c r="N56" s="468">
        <v>1</v>
      </c>
      <c r="O56" s="468">
        <v>3</v>
      </c>
      <c r="P56" s="470">
        <v>1000</v>
      </c>
      <c r="Q56" s="476">
        <v>3.3</v>
      </c>
      <c r="R56" s="447">
        <v>-40</v>
      </c>
      <c r="S56" s="447">
        <v>125</v>
      </c>
      <c r="T56" s="471"/>
      <c r="U56" s="471">
        <v>2400000000</v>
      </c>
      <c r="V56" s="472">
        <v>2400000000</v>
      </c>
      <c r="W56" s="390">
        <v>3.3</v>
      </c>
      <c r="X56" s="473">
        <v>0.01</v>
      </c>
      <c r="Y56" s="474">
        <f t="shared" si="1"/>
        <v>50</v>
      </c>
      <c r="Z56" s="474">
        <f>IF(OR($AL$107=Devices[[#This Row],[Input Type]], 0=Devices[[#This Row],[Input Type]]),Devices[[#This Row],[Row Num]], " ")</f>
        <v>50</v>
      </c>
      <c r="AA56" s="474" t="str">
        <f>IF(OR($AL$108=Devices[[#This Row],[Input Type]], 0=Devices[[#This Row],[Input Type]]),Devices[[#This Row],[Row Num]], " ")</f>
        <v xml:space="preserve"> </v>
      </c>
      <c r="AB56" s="474" t="str">
        <f>IF(0=Devices[[#This Row],[Input Type]], Devices[[#This Row],[Row Num]], " ")</f>
        <v xml:space="preserve"> </v>
      </c>
      <c r="AC56" s="474">
        <f>IFERROR(SMALL(Devices[Row Sel D], Devices[[#This Row],[Row Num]]), " ")</f>
        <v>63</v>
      </c>
      <c r="AD56" s="474" t="str">
        <f>IFERROR(SMALL(Devices[Row Sel SE], Devices[[#This Row],[Row Num]]), " ")</f>
        <v xml:space="preserve"> </v>
      </c>
      <c r="AE56" s="474" t="str">
        <f>IFERROR(SMALL(Devices[Row Sel N], Devices[[#This Row],[Row Num]]), " ")</f>
        <v xml:space="preserve"> </v>
      </c>
      <c r="AF56" s="474" t="str">
        <f>IFERROR(INDEX(Devices[Part], Devices[[#This Row],[Sel D]], 1), "")</f>
        <v>AMC1301</v>
      </c>
      <c r="AG56" s="474" t="str">
        <f>IFERROR(INDEX(Devices[Part], Devices[[#This Row],[Sel SE]], 1), "")</f>
        <v/>
      </c>
      <c r="AH56" s="474" t="str">
        <f>IFERROR(INDEX(Devices[Part], Devices[[#This Row],[Sel N]], 1), "")</f>
        <v/>
      </c>
      <c r="AJ56" s="378"/>
    </row>
    <row r="57" spans="1:36" s="465" customFormat="1" ht="15" customHeight="1">
      <c r="A57" s="405" t="s">
        <v>441</v>
      </c>
      <c r="B57" s="380" t="s">
        <v>46</v>
      </c>
      <c r="C57" s="371" t="s">
        <v>407</v>
      </c>
      <c r="D57" s="467">
        <v>4.0000000000000002E-4</v>
      </c>
      <c r="E57" s="467">
        <v>2.5000000000000001E-3</v>
      </c>
      <c r="F57" s="468">
        <v>5</v>
      </c>
      <c r="G57" s="468">
        <v>40</v>
      </c>
      <c r="H57" s="477">
        <v>0.01</v>
      </c>
      <c r="I57" s="477">
        <v>1.5</v>
      </c>
      <c r="J57" s="469">
        <v>2</v>
      </c>
      <c r="K57" s="469">
        <v>20</v>
      </c>
      <c r="L57" s="467">
        <v>1.2999999999999999E-4</v>
      </c>
      <c r="M57" s="467">
        <v>2.5000000000000001E-4</v>
      </c>
      <c r="N57" s="468">
        <v>1</v>
      </c>
      <c r="O57" s="468">
        <v>3</v>
      </c>
      <c r="P57" s="470">
        <v>1000</v>
      </c>
      <c r="Q57" s="476">
        <v>5</v>
      </c>
      <c r="R57" s="447">
        <v>-40</v>
      </c>
      <c r="S57" s="447">
        <v>125</v>
      </c>
      <c r="T57" s="471"/>
      <c r="U57" s="471">
        <v>2400000000</v>
      </c>
      <c r="V57" s="472">
        <v>2400000000</v>
      </c>
      <c r="W57" s="390">
        <v>5</v>
      </c>
      <c r="X57" s="473">
        <v>0.01</v>
      </c>
      <c r="Y57" s="474">
        <f t="shared" si="1"/>
        <v>51</v>
      </c>
      <c r="Z57" s="474">
        <f>IF(OR($AL$107=Devices[[#This Row],[Input Type]], 0=Devices[[#This Row],[Input Type]]),Devices[[#This Row],[Row Num]], " ")</f>
        <v>51</v>
      </c>
      <c r="AA57" s="474" t="str">
        <f>IF(OR($AL$108=Devices[[#This Row],[Input Type]], 0=Devices[[#This Row],[Input Type]]),Devices[[#This Row],[Row Num]], " ")</f>
        <v xml:space="preserve"> </v>
      </c>
      <c r="AB57" s="474" t="str">
        <f>IF(0=Devices[[#This Row],[Input Type]], Devices[[#This Row],[Row Num]], " ")</f>
        <v xml:space="preserve"> </v>
      </c>
      <c r="AC57" s="474">
        <f>IFERROR(SMALL(Devices[Row Sel D], Devices[[#This Row],[Row Num]]), " ")</f>
        <v>64</v>
      </c>
      <c r="AD57" s="474" t="str">
        <f>IFERROR(SMALL(Devices[Row Sel SE], Devices[[#This Row],[Row Num]]), " ")</f>
        <v xml:space="preserve"> </v>
      </c>
      <c r="AE57" s="474" t="str">
        <f>IFERROR(SMALL(Devices[Row Sel N], Devices[[#This Row],[Row Num]]), " ")</f>
        <v xml:space="preserve"> </v>
      </c>
      <c r="AF57" s="474" t="str">
        <f>IFERROR(INDEX(Devices[Part], Devices[[#This Row],[Sel D]], 1), "")</f>
        <v>AMC1301-Q1</v>
      </c>
      <c r="AG57" s="474" t="str">
        <f>IFERROR(INDEX(Devices[Part], Devices[[#This Row],[Sel SE]], 1), "")</f>
        <v/>
      </c>
      <c r="AH57" s="474" t="str">
        <f>IFERROR(INDEX(Devices[Part], Devices[[#This Row],[Sel N]], 1), "")</f>
        <v/>
      </c>
      <c r="AJ57" s="378"/>
    </row>
    <row r="58" spans="1:36" s="465" customFormat="1" ht="15" customHeight="1">
      <c r="A58" s="405" t="s">
        <v>438</v>
      </c>
      <c r="B58" s="380" t="s">
        <v>46</v>
      </c>
      <c r="C58" s="371" t="s">
        <v>407</v>
      </c>
      <c r="D58" s="467">
        <v>4.0000000000000002E-4</v>
      </c>
      <c r="E58" s="467">
        <v>2.5000000000000001E-3</v>
      </c>
      <c r="F58" s="468">
        <v>5</v>
      </c>
      <c r="G58" s="468">
        <v>40</v>
      </c>
      <c r="H58" s="477">
        <v>0.01</v>
      </c>
      <c r="I58" s="477">
        <v>1.5</v>
      </c>
      <c r="J58" s="469">
        <v>2</v>
      </c>
      <c r="K58" s="469">
        <v>20</v>
      </c>
      <c r="L58" s="467">
        <v>1.2999999999999999E-4</v>
      </c>
      <c r="M58" s="467">
        <v>2.5000000000000001E-4</v>
      </c>
      <c r="N58" s="468">
        <v>1</v>
      </c>
      <c r="O58" s="468">
        <v>3</v>
      </c>
      <c r="P58" s="470">
        <v>1000</v>
      </c>
      <c r="Q58" s="476">
        <v>3.3</v>
      </c>
      <c r="R58" s="447">
        <v>-40</v>
      </c>
      <c r="S58" s="447">
        <v>125</v>
      </c>
      <c r="T58" s="471"/>
      <c r="U58" s="471">
        <v>2400000000</v>
      </c>
      <c r="V58" s="472">
        <v>2400000000</v>
      </c>
      <c r="W58" s="390">
        <v>3.3</v>
      </c>
      <c r="X58" s="473">
        <v>0.01</v>
      </c>
      <c r="Y58" s="474">
        <f t="shared" si="1"/>
        <v>52</v>
      </c>
      <c r="Z58" s="474">
        <f>IF(OR($AL$107=Devices[[#This Row],[Input Type]], 0=Devices[[#This Row],[Input Type]]),Devices[[#This Row],[Row Num]], " ")</f>
        <v>52</v>
      </c>
      <c r="AA58" s="474" t="str">
        <f>IF(OR($AL$108=Devices[[#This Row],[Input Type]], 0=Devices[[#This Row],[Input Type]]),Devices[[#This Row],[Row Num]], " ")</f>
        <v xml:space="preserve"> </v>
      </c>
      <c r="AB58" s="474" t="str">
        <f>IF(0=Devices[[#This Row],[Input Type]], Devices[[#This Row],[Row Num]], " ")</f>
        <v xml:space="preserve"> </v>
      </c>
      <c r="AC58" s="474">
        <f>IFERROR(SMALL(Devices[Row Sel D], Devices[[#This Row],[Row Num]]), " ")</f>
        <v>65</v>
      </c>
      <c r="AD58" s="474" t="str">
        <f>IFERROR(SMALL(Devices[Row Sel SE], Devices[[#This Row],[Row Num]]), " ")</f>
        <v xml:space="preserve"> </v>
      </c>
      <c r="AE58" s="474" t="str">
        <f>IFERROR(SMALL(Devices[Row Sel N], Devices[[#This Row],[Row Num]]), " ")</f>
        <v xml:space="preserve"> </v>
      </c>
      <c r="AF58" s="474" t="str">
        <f>IFERROR(INDEX(Devices[Part], Devices[[#This Row],[Sel D]], 1), "")</f>
        <v>AMC1301S</v>
      </c>
      <c r="AG58" s="474" t="str">
        <f>IFERROR(INDEX(Devices[Part], Devices[[#This Row],[Sel SE]], 1), "")</f>
        <v/>
      </c>
      <c r="AH58" s="474" t="str">
        <f>IFERROR(INDEX(Devices[Part], Devices[[#This Row],[Sel N]], 1), "")</f>
        <v/>
      </c>
      <c r="AJ58" s="378"/>
    </row>
    <row r="59" spans="1:36" s="465" customFormat="1" ht="15" customHeight="1">
      <c r="A59" s="405" t="s">
        <v>442</v>
      </c>
      <c r="B59" s="380" t="s">
        <v>46</v>
      </c>
      <c r="C59" s="371" t="s">
        <v>407</v>
      </c>
      <c r="D59" s="467">
        <v>4.0000000000000002E-4</v>
      </c>
      <c r="E59" s="467">
        <v>2.5000000000000001E-3</v>
      </c>
      <c r="F59" s="468">
        <v>5</v>
      </c>
      <c r="G59" s="468">
        <v>40</v>
      </c>
      <c r="H59" s="477">
        <v>0.01</v>
      </c>
      <c r="I59" s="477">
        <v>1.5</v>
      </c>
      <c r="J59" s="469">
        <v>2</v>
      </c>
      <c r="K59" s="469">
        <v>20</v>
      </c>
      <c r="L59" s="467">
        <v>1.2999999999999999E-4</v>
      </c>
      <c r="M59" s="467">
        <v>2.5000000000000001E-4</v>
      </c>
      <c r="N59" s="468">
        <v>1</v>
      </c>
      <c r="O59" s="468">
        <v>3</v>
      </c>
      <c r="P59" s="470">
        <v>1000</v>
      </c>
      <c r="Q59" s="476">
        <v>5</v>
      </c>
      <c r="R59" s="447">
        <v>-40</v>
      </c>
      <c r="S59" s="447">
        <v>125</v>
      </c>
      <c r="T59" s="471"/>
      <c r="U59" s="471">
        <v>2400000000</v>
      </c>
      <c r="V59" s="472">
        <v>2400000000</v>
      </c>
      <c r="W59" s="390">
        <v>5</v>
      </c>
      <c r="X59" s="473">
        <v>0.01</v>
      </c>
      <c r="Y59" s="474">
        <f t="shared" si="1"/>
        <v>53</v>
      </c>
      <c r="Z59" s="474">
        <f>IF(OR($AL$107=Devices[[#This Row],[Input Type]], 0=Devices[[#This Row],[Input Type]]),Devices[[#This Row],[Row Num]], " ")</f>
        <v>53</v>
      </c>
      <c r="AA59" s="474" t="str">
        <f>IF(OR($AL$108=Devices[[#This Row],[Input Type]], 0=Devices[[#This Row],[Input Type]]),Devices[[#This Row],[Row Num]], " ")</f>
        <v xml:space="preserve"> </v>
      </c>
      <c r="AB59" s="474" t="str">
        <f>IF(0=Devices[[#This Row],[Input Type]], Devices[[#This Row],[Row Num]], " ")</f>
        <v xml:space="preserve"> </v>
      </c>
      <c r="AC59" s="474">
        <f>IFERROR(SMALL(Devices[Row Sel D], Devices[[#This Row],[Row Num]]), " ")</f>
        <v>66</v>
      </c>
      <c r="AD59" s="474" t="str">
        <f>IFERROR(SMALL(Devices[Row Sel SE], Devices[[#This Row],[Row Num]]), " ")</f>
        <v xml:space="preserve"> </v>
      </c>
      <c r="AE59" s="474" t="str">
        <f>IFERROR(SMALL(Devices[Row Sel N], Devices[[#This Row],[Row Num]]), " ")</f>
        <v xml:space="preserve"> </v>
      </c>
      <c r="AF59" s="474" t="str">
        <f>IFERROR(INDEX(Devices[Part], Devices[[#This Row],[Sel D]], 1), "")</f>
        <v>AMC1302</v>
      </c>
      <c r="AG59" s="474" t="str">
        <f>IFERROR(INDEX(Devices[Part], Devices[[#This Row],[Sel SE]], 1), "")</f>
        <v/>
      </c>
      <c r="AH59" s="474" t="str">
        <f>IFERROR(INDEX(Devices[Part], Devices[[#This Row],[Sel N]], 1), "")</f>
        <v/>
      </c>
      <c r="AJ59" s="378"/>
    </row>
    <row r="60" spans="1:36" s="465" customFormat="1" ht="15" customHeight="1">
      <c r="A60" s="405" t="s">
        <v>461</v>
      </c>
      <c r="B60" s="380" t="s">
        <v>46</v>
      </c>
      <c r="C60" s="371" t="s">
        <v>47</v>
      </c>
      <c r="D60" s="467">
        <v>4.0000000000000002E-4</v>
      </c>
      <c r="E60" s="467">
        <v>2.5000000000000001E-3</v>
      </c>
      <c r="F60" s="468">
        <v>5</v>
      </c>
      <c r="G60" s="468">
        <v>45</v>
      </c>
      <c r="H60" s="477">
        <v>0.1</v>
      </c>
      <c r="I60" s="477">
        <v>1.2</v>
      </c>
      <c r="J60" s="469">
        <v>2</v>
      </c>
      <c r="K60" s="469">
        <v>20</v>
      </c>
      <c r="L60" s="467">
        <v>1E-4</v>
      </c>
      <c r="M60" s="467">
        <v>2.5000000000000001E-4</v>
      </c>
      <c r="N60" s="468">
        <v>1</v>
      </c>
      <c r="O60" s="468">
        <v>3</v>
      </c>
      <c r="P60" s="470">
        <v>1000</v>
      </c>
      <c r="Q60" s="476">
        <v>2</v>
      </c>
      <c r="R60" s="447">
        <v>-40</v>
      </c>
      <c r="S60" s="447">
        <v>125</v>
      </c>
      <c r="T60" s="471"/>
      <c r="U60" s="471">
        <v>2400000000</v>
      </c>
      <c r="V60" s="472">
        <v>2400000000</v>
      </c>
      <c r="W60" s="390">
        <v>2</v>
      </c>
      <c r="X60" s="473">
        <v>0.01</v>
      </c>
      <c r="Y60" s="474">
        <f t="shared" si="1"/>
        <v>54</v>
      </c>
      <c r="Z60" s="474">
        <f>IF(OR($AL$107=Devices[[#This Row],[Input Type]], 0=Devices[[#This Row],[Input Type]]),Devices[[#This Row],[Row Num]], " ")</f>
        <v>54</v>
      </c>
      <c r="AA60" s="474" t="str">
        <f>IF(OR($AL$108=Devices[[#This Row],[Input Type]], 0=Devices[[#This Row],[Input Type]]),Devices[[#This Row],[Row Num]], " ")</f>
        <v xml:space="preserve"> </v>
      </c>
      <c r="AB60" s="474" t="str">
        <f>IF(0=Devices[[#This Row],[Input Type]], Devices[[#This Row],[Row Num]], " ")</f>
        <v xml:space="preserve"> </v>
      </c>
      <c r="AC60" s="474">
        <f>IFERROR(SMALL(Devices[Row Sel D], Devices[[#This Row],[Row Num]]), " ")</f>
        <v>67</v>
      </c>
      <c r="AD60" s="474" t="str">
        <f>IFERROR(SMALL(Devices[Row Sel SE], Devices[[#This Row],[Row Num]]), " ")</f>
        <v xml:space="preserve"> </v>
      </c>
      <c r="AE60" s="474" t="str">
        <f>IFERROR(SMALL(Devices[Row Sel N], Devices[[#This Row],[Row Num]]), " ")</f>
        <v xml:space="preserve"> </v>
      </c>
      <c r="AF60" s="474" t="str">
        <f>IFERROR(INDEX(Devices[Part], Devices[[#This Row],[Sel D]], 1), "")</f>
        <v>AMC1302-Q1</v>
      </c>
      <c r="AG60" s="474" t="str">
        <f>IFERROR(INDEX(Devices[Part], Devices[[#This Row],[Sel SE]], 1), "")</f>
        <v/>
      </c>
      <c r="AH60" s="474" t="str">
        <f>IFERROR(INDEX(Devices[Part], Devices[[#This Row],[Sel N]], 1), "")</f>
        <v/>
      </c>
      <c r="AJ60" s="378"/>
    </row>
    <row r="61" spans="1:36" s="465" customFormat="1" ht="15" customHeight="1">
      <c r="A61" s="405" t="s">
        <v>462</v>
      </c>
      <c r="B61" s="380" t="s">
        <v>46</v>
      </c>
      <c r="C61" s="371" t="s">
        <v>47</v>
      </c>
      <c r="D61" s="467">
        <v>4.0000000000000002E-4</v>
      </c>
      <c r="E61" s="467">
        <v>2.5000000000000001E-3</v>
      </c>
      <c r="F61" s="468">
        <v>5</v>
      </c>
      <c r="G61" s="468">
        <v>45</v>
      </c>
      <c r="H61" s="477">
        <v>0.1</v>
      </c>
      <c r="I61" s="477">
        <v>1.2</v>
      </c>
      <c r="J61" s="469">
        <v>2</v>
      </c>
      <c r="K61" s="469">
        <v>20</v>
      </c>
      <c r="L61" s="467">
        <v>1E-4</v>
      </c>
      <c r="M61" s="467">
        <v>2.5000000000000001E-4</v>
      </c>
      <c r="N61" s="468">
        <v>1</v>
      </c>
      <c r="O61" s="468">
        <v>3</v>
      </c>
      <c r="P61" s="470">
        <v>1000</v>
      </c>
      <c r="Q61" s="476">
        <v>2</v>
      </c>
      <c r="R61" s="447">
        <v>-40</v>
      </c>
      <c r="S61" s="447">
        <v>125</v>
      </c>
      <c r="T61" s="471"/>
      <c r="U61" s="471">
        <v>2400000000</v>
      </c>
      <c r="V61" s="472">
        <v>2400000000</v>
      </c>
      <c r="W61" s="390">
        <v>2</v>
      </c>
      <c r="X61" s="473">
        <v>0.01</v>
      </c>
      <c r="Y61" s="474">
        <f t="shared" si="1"/>
        <v>55</v>
      </c>
      <c r="Z61" s="474">
        <f>IF(OR($AL$107=Devices[[#This Row],[Input Type]], 0=Devices[[#This Row],[Input Type]]),Devices[[#This Row],[Row Num]], " ")</f>
        <v>55</v>
      </c>
      <c r="AA61" s="474" t="str">
        <f>IF(OR($AL$108=Devices[[#This Row],[Input Type]], 0=Devices[[#This Row],[Input Type]]),Devices[[#This Row],[Row Num]], " ")</f>
        <v xml:space="preserve"> </v>
      </c>
      <c r="AB61" s="474" t="str">
        <f>IF(0=Devices[[#This Row],[Input Type]], Devices[[#This Row],[Row Num]], " ")</f>
        <v xml:space="preserve"> </v>
      </c>
      <c r="AC61" s="474">
        <f>IFERROR(SMALL(Devices[Row Sel D], Devices[[#This Row],[Row Num]]), " ")</f>
        <v>72</v>
      </c>
      <c r="AD61" s="474" t="str">
        <f>IFERROR(SMALL(Devices[Row Sel SE], Devices[[#This Row],[Row Num]]), " ")</f>
        <v xml:space="preserve"> </v>
      </c>
      <c r="AE61" s="474" t="str">
        <f>IFERROR(SMALL(Devices[Row Sel N], Devices[[#This Row],[Row Num]]), " ")</f>
        <v xml:space="preserve"> </v>
      </c>
      <c r="AF61" s="474" t="str">
        <f>IFERROR(INDEX(Devices[Part], Devices[[#This Row],[Sel D]], 1), "")</f>
        <v>AMC1350</v>
      </c>
      <c r="AG61" s="474" t="str">
        <f>IFERROR(INDEX(Devices[Part], Devices[[#This Row],[Sel SE]], 1), "")</f>
        <v/>
      </c>
      <c r="AH61" s="474" t="str">
        <f>IFERROR(INDEX(Devices[Part], Devices[[#This Row],[Sel N]], 1), "")</f>
        <v/>
      </c>
      <c r="AJ61" s="378"/>
    </row>
    <row r="62" spans="1:36" s="465" customFormat="1" ht="15" customHeight="1">
      <c r="A62" s="405" t="s">
        <v>463</v>
      </c>
      <c r="B62" s="380" t="s">
        <v>46</v>
      </c>
      <c r="C62" s="371" t="s">
        <v>46</v>
      </c>
      <c r="D62" s="467">
        <v>4.0000000000000002E-4</v>
      </c>
      <c r="E62" s="467">
        <v>2.5000000000000001E-3</v>
      </c>
      <c r="F62" s="468">
        <v>5</v>
      </c>
      <c r="G62" s="468">
        <v>35</v>
      </c>
      <c r="H62" s="477">
        <v>0.01</v>
      </c>
      <c r="I62" s="477">
        <v>0.2</v>
      </c>
      <c r="J62" s="469">
        <v>0.25</v>
      </c>
      <c r="K62" s="469">
        <v>2</v>
      </c>
      <c r="L62" s="467">
        <v>1.2999999999999999E-4</v>
      </c>
      <c r="M62" s="467">
        <v>4.0000000000000002E-4</v>
      </c>
      <c r="N62" s="468">
        <v>1</v>
      </c>
      <c r="O62" s="468">
        <v>3</v>
      </c>
      <c r="P62" s="470">
        <v>250</v>
      </c>
      <c r="Q62" s="476">
        <v>2</v>
      </c>
      <c r="R62" s="447">
        <v>-40</v>
      </c>
      <c r="S62" s="447">
        <v>125</v>
      </c>
      <c r="T62" s="471"/>
      <c r="U62" s="471">
        <v>27500</v>
      </c>
      <c r="V62" s="472">
        <v>27500</v>
      </c>
      <c r="W62" s="390">
        <v>8</v>
      </c>
      <c r="X62" s="473">
        <v>0</v>
      </c>
      <c r="Y62" s="474">
        <f t="shared" si="1"/>
        <v>56</v>
      </c>
      <c r="Z62" s="474">
        <f>IF(OR($AL$107=Devices[[#This Row],[Input Type]], 0=Devices[[#This Row],[Input Type]]),Devices[[#This Row],[Row Num]], " ")</f>
        <v>56</v>
      </c>
      <c r="AA62" s="474" t="str">
        <f>IF(OR($AL$108=Devices[[#This Row],[Input Type]], 0=Devices[[#This Row],[Input Type]]),Devices[[#This Row],[Row Num]], " ")</f>
        <v xml:space="preserve"> </v>
      </c>
      <c r="AB62" s="474" t="str">
        <f>IF(0=Devices[[#This Row],[Input Type]], Devices[[#This Row],[Row Num]], " ")</f>
        <v xml:space="preserve"> </v>
      </c>
      <c r="AC62" s="474">
        <f>IFERROR(SMALL(Devices[Row Sel D], Devices[[#This Row],[Row Num]]), " ")</f>
        <v>74</v>
      </c>
      <c r="AD62" s="474" t="str">
        <f>IFERROR(SMALL(Devices[Row Sel SE], Devices[[#This Row],[Row Num]]), " ")</f>
        <v xml:space="preserve"> </v>
      </c>
      <c r="AE62" s="474" t="str">
        <f>IFERROR(SMALL(Devices[Row Sel N], Devices[[#This Row],[Row Num]]), " ")</f>
        <v xml:space="preserve"> </v>
      </c>
      <c r="AF62" s="474" t="str">
        <f>IFERROR(INDEX(Devices[Part], Devices[[#This Row],[Sel D]], 1), "")</f>
        <v>AMC1400</v>
      </c>
      <c r="AG62" s="474" t="str">
        <f>IFERROR(INDEX(Devices[Part], Devices[[#This Row],[Sel SE]], 1), "")</f>
        <v/>
      </c>
      <c r="AH62" s="474" t="str">
        <f>IFERROR(INDEX(Devices[Part], Devices[[#This Row],[Sel N]], 1), "")</f>
        <v/>
      </c>
      <c r="AJ62" s="378"/>
    </row>
    <row r="63" spans="1:36" s="465" customFormat="1" ht="15" customHeight="1">
      <c r="A63" s="405" t="s">
        <v>187</v>
      </c>
      <c r="B63" s="380" t="s">
        <v>46</v>
      </c>
      <c r="C63" s="381" t="s">
        <v>46</v>
      </c>
      <c r="D63" s="382">
        <v>4.0000000000000002E-4</v>
      </c>
      <c r="E63" s="382">
        <v>2E-3</v>
      </c>
      <c r="F63" s="383">
        <v>3</v>
      </c>
      <c r="G63" s="383">
        <v>35</v>
      </c>
      <c r="H63" s="479">
        <v>2.5000000000000001E-3</v>
      </c>
      <c r="I63" s="479">
        <v>0.05</v>
      </c>
      <c r="J63" s="384">
        <v>0.15</v>
      </c>
      <c r="K63" s="384">
        <v>0.8</v>
      </c>
      <c r="L63" s="382">
        <v>1E-4</v>
      </c>
      <c r="M63" s="382">
        <v>2.9999999999999997E-4</v>
      </c>
      <c r="N63" s="383">
        <v>1</v>
      </c>
      <c r="O63" s="383">
        <v>3</v>
      </c>
      <c r="P63" s="385">
        <v>50</v>
      </c>
      <c r="Q63" s="476" t="s">
        <v>264</v>
      </c>
      <c r="R63" s="387">
        <v>-55</v>
      </c>
      <c r="S63" s="387">
        <v>125</v>
      </c>
      <c r="T63" s="388"/>
      <c r="U63" s="388">
        <v>4750</v>
      </c>
      <c r="V63" s="389">
        <v>4900</v>
      </c>
      <c r="W63" s="390">
        <v>41</v>
      </c>
      <c r="X63" s="404">
        <v>36</v>
      </c>
      <c r="Y63" s="392">
        <f t="shared" si="1"/>
        <v>57</v>
      </c>
      <c r="Z63" s="392">
        <f>IF(OR($AL$107=Devices[[#This Row],[Input Type]], 0=Devices[[#This Row],[Input Type]]),Devices[[#This Row],[Row Num]], " ")</f>
        <v>57</v>
      </c>
      <c r="AA63" s="392" t="str">
        <f>IF(OR($AL$108=Devices[[#This Row],[Input Type]], 0=Devices[[#This Row],[Input Type]]),Devices[[#This Row],[Row Num]], " ")</f>
        <v xml:space="preserve"> </v>
      </c>
      <c r="AB63" s="392" t="str">
        <f>IF(0=Devices[[#This Row],[Input Type]], Devices[[#This Row],[Row Num]], " ")</f>
        <v xml:space="preserve"> </v>
      </c>
      <c r="AC63" s="392">
        <f>IFERROR(SMALL(Devices[Row Sel D], Devices[[#This Row],[Row Num]]), " ")</f>
        <v>76</v>
      </c>
      <c r="AD63" s="392" t="str">
        <f>IFERROR(SMALL(Devices[Row Sel SE], Devices[[#This Row],[Row Num]]), " ")</f>
        <v xml:space="preserve"> </v>
      </c>
      <c r="AE63" s="392" t="str">
        <f>IFERROR(SMALL(Devices[Row Sel N], Devices[[#This Row],[Row Num]]), " ")</f>
        <v xml:space="preserve"> </v>
      </c>
      <c r="AF63" s="392" t="str">
        <f>IFERROR(INDEX(Devices[Part], Devices[[#This Row],[Sel D]], 1), "")</f>
        <v>AMC3301</v>
      </c>
      <c r="AG63" s="392" t="str">
        <f>IFERROR(INDEX(Devices[Part], Devices[[#This Row],[Sel SE]], 1), "")</f>
        <v/>
      </c>
      <c r="AH63" s="392" t="str">
        <f>IFERROR(INDEX(Devices[Part], Devices[[#This Row],[Sel N]], 1), "")</f>
        <v/>
      </c>
      <c r="AJ63" s="378"/>
    </row>
    <row r="64" spans="1:36" s="465" customFormat="1" ht="15" customHeight="1">
      <c r="A64" s="485" t="s">
        <v>177</v>
      </c>
      <c r="B64" s="380" t="s">
        <v>47</v>
      </c>
      <c r="C64" s="381" t="s">
        <v>46</v>
      </c>
      <c r="D64" s="382">
        <v>5.0000000000000001E-4</v>
      </c>
      <c r="E64" s="382">
        <v>2E-3</v>
      </c>
      <c r="F64" s="383">
        <v>5</v>
      </c>
      <c r="G64" s="383">
        <v>40</v>
      </c>
      <c r="H64" s="480">
        <v>0.4</v>
      </c>
      <c r="I64" s="479">
        <v>1.5</v>
      </c>
      <c r="J64" s="384">
        <v>3</v>
      </c>
      <c r="K64" s="384">
        <v>10</v>
      </c>
      <c r="L64" s="382">
        <v>1E-4</v>
      </c>
      <c r="M64" s="382">
        <v>4.0000000000000002E-4</v>
      </c>
      <c r="N64" s="383">
        <v>1</v>
      </c>
      <c r="O64" s="383">
        <v>3</v>
      </c>
      <c r="P64" s="385">
        <v>2000</v>
      </c>
      <c r="Q64" s="386" t="s">
        <v>273</v>
      </c>
      <c r="R64" s="424">
        <v>-40</v>
      </c>
      <c r="S64" s="424">
        <v>125</v>
      </c>
      <c r="T64" s="394"/>
      <c r="U64" s="394">
        <v>1000000000</v>
      </c>
      <c r="V64" s="419">
        <v>1000000000</v>
      </c>
      <c r="W64" s="390">
        <v>1</v>
      </c>
      <c r="X64" s="520">
        <v>3.5000000000000001E-3</v>
      </c>
      <c r="Y64" s="395">
        <f t="shared" si="1"/>
        <v>58</v>
      </c>
      <c r="Z64" s="395" t="str">
        <f>IF(OR($AL$107=Devices[[#This Row],[Input Type]], 0=Devices[[#This Row],[Input Type]]),Devices[[#This Row],[Row Num]], " ")</f>
        <v xml:space="preserve"> </v>
      </c>
      <c r="AA64" s="395">
        <f>IF(OR($AL$108=Devices[[#This Row],[Input Type]], 0=Devices[[#This Row],[Input Type]]),Devices[[#This Row],[Row Num]], " ")</f>
        <v>58</v>
      </c>
      <c r="AB64" s="395" t="str">
        <f>IF(0=Devices[[#This Row],[Input Type]], Devices[[#This Row],[Row Num]], " ")</f>
        <v xml:space="preserve"> </v>
      </c>
      <c r="AC64" s="395">
        <f>IFERROR(SMALL(Devices[Row Sel D], Devices[[#This Row],[Row Num]]), " ")</f>
        <v>77</v>
      </c>
      <c r="AD64" s="395" t="str">
        <f>IFERROR(SMALL(Devices[Row Sel SE], Devices[[#This Row],[Row Num]]), " ")</f>
        <v xml:space="preserve"> </v>
      </c>
      <c r="AE64" s="395" t="str">
        <f>IFERROR(SMALL(Devices[Row Sel N], Devices[[#This Row],[Row Num]]), " ")</f>
        <v xml:space="preserve"> </v>
      </c>
      <c r="AF64" s="395" t="str">
        <f>IFERROR(INDEX(Devices[Part], Devices[[#This Row],[Sel D]], 1), "")</f>
        <v>AMC3301-Q1</v>
      </c>
      <c r="AG64" s="395" t="str">
        <f>IFERROR(INDEX(Devices[Part], Devices[[#This Row],[Sel SE]], 1), "")</f>
        <v/>
      </c>
      <c r="AH64" s="395" t="str">
        <f>IFERROR(INDEX(Devices[Part], Devices[[#This Row],[Sel N]], 1), "")</f>
        <v/>
      </c>
      <c r="AJ64" s="378"/>
    </row>
    <row r="65" spans="1:36" s="465" customFormat="1" ht="15" customHeight="1">
      <c r="A65" s="405" t="s">
        <v>13</v>
      </c>
      <c r="B65" s="380" t="s">
        <v>46</v>
      </c>
      <c r="C65" s="381" t="s">
        <v>46</v>
      </c>
      <c r="D65" s="492">
        <v>4.0000000000000001E-3</v>
      </c>
      <c r="E65" s="492">
        <v>0.01</v>
      </c>
      <c r="F65" s="406">
        <v>50</v>
      </c>
      <c r="G65" s="406">
        <v>150</v>
      </c>
      <c r="H65" s="500">
        <v>0.01</v>
      </c>
      <c r="I65" s="500">
        <v>2</v>
      </c>
      <c r="J65" s="407">
        <v>1.3</v>
      </c>
      <c r="K65" s="407">
        <v>4</v>
      </c>
      <c r="L65" s="399">
        <v>1E-4</v>
      </c>
      <c r="M65" s="399">
        <v>2.9999999999999997E-4</v>
      </c>
      <c r="N65" s="406">
        <v>1</v>
      </c>
      <c r="O65" s="406">
        <v>3</v>
      </c>
      <c r="P65" s="393">
        <v>250</v>
      </c>
      <c r="Q65" s="386" t="s">
        <v>264</v>
      </c>
      <c r="R65" s="387">
        <v>-40</v>
      </c>
      <c r="S65" s="387">
        <v>125</v>
      </c>
      <c r="T65" s="388">
        <v>12500</v>
      </c>
      <c r="U65" s="388">
        <v>19000</v>
      </c>
      <c r="V65" s="389">
        <v>22222</v>
      </c>
      <c r="W65" s="390">
        <v>8.1999999999999993</v>
      </c>
      <c r="X65" s="404">
        <v>30</v>
      </c>
      <c r="Y65" s="376">
        <f t="shared" si="1"/>
        <v>59</v>
      </c>
      <c r="Z65" s="376">
        <f>IF(OR($AL$107=Devices[[#This Row],[Input Type]], 0=Devices[[#This Row],[Input Type]]),Devices[[#This Row],[Row Num]], " ")</f>
        <v>59</v>
      </c>
      <c r="AA65" s="376" t="str">
        <f>IF(OR($AL$108=Devices[[#This Row],[Input Type]], 0=Devices[[#This Row],[Input Type]]),Devices[[#This Row],[Row Num]], " ")</f>
        <v xml:space="preserve"> </v>
      </c>
      <c r="AB65" s="376" t="str">
        <f>IF(0=Devices[[#This Row],[Input Type]], Devices[[#This Row],[Row Num]], " ")</f>
        <v xml:space="preserve"> </v>
      </c>
      <c r="AC65" s="377">
        <f>IFERROR(SMALL(Devices[Row Sel D], Devices[[#This Row],[Row Num]]), " ")</f>
        <v>78</v>
      </c>
      <c r="AD65" s="377" t="str">
        <f>IFERROR(SMALL(Devices[Row Sel SE], Devices[[#This Row],[Row Num]]), " ")</f>
        <v xml:space="preserve"> </v>
      </c>
      <c r="AE65" s="377" t="str">
        <f>IFERROR(SMALL(Devices[Row Sel N], Devices[[#This Row],[Row Num]]), " ")</f>
        <v xml:space="preserve"> </v>
      </c>
      <c r="AF65" s="377" t="str">
        <f>IFERROR(INDEX(Devices[Part], Devices[[#This Row],[Sel D]], 1), "")</f>
        <v>AMC3302</v>
      </c>
      <c r="AG65" s="377" t="str">
        <f>IFERROR(INDEX(Devices[Part], Devices[[#This Row],[Sel SE]], 1), "")</f>
        <v/>
      </c>
      <c r="AH65" s="377" t="str">
        <f>IFERROR(INDEX(Devices[Part], Devices[[#This Row],[Sel N]], 1), "")</f>
        <v/>
      </c>
      <c r="AJ65" s="378"/>
    </row>
    <row r="66" spans="1:36" s="465" customFormat="1" ht="15" customHeight="1">
      <c r="A66" s="405" t="s">
        <v>66</v>
      </c>
      <c r="B66" s="380" t="s">
        <v>46</v>
      </c>
      <c r="C66" s="381" t="s">
        <v>46</v>
      </c>
      <c r="D66" s="399">
        <v>5.0000000000000001E-4</v>
      </c>
      <c r="E66" s="399">
        <v>3.0000000000000001E-3</v>
      </c>
      <c r="F66" s="406">
        <v>15</v>
      </c>
      <c r="G66" s="406">
        <v>50</v>
      </c>
      <c r="H66" s="482">
        <v>0.01</v>
      </c>
      <c r="I66" s="482">
        <v>0.2</v>
      </c>
      <c r="J66" s="407">
        <v>1</v>
      </c>
      <c r="K66" s="407">
        <v>3</v>
      </c>
      <c r="L66" s="399">
        <v>1E-4</v>
      </c>
      <c r="M66" s="399">
        <v>2.9999999999999997E-4</v>
      </c>
      <c r="N66" s="406">
        <v>1</v>
      </c>
      <c r="O66" s="406">
        <v>3</v>
      </c>
      <c r="P66" s="393">
        <v>250</v>
      </c>
      <c r="Q66" s="386" t="s">
        <v>264</v>
      </c>
      <c r="R66" s="387">
        <v>-55</v>
      </c>
      <c r="S66" s="387">
        <v>125</v>
      </c>
      <c r="T66" s="388">
        <v>12500</v>
      </c>
      <c r="U66" s="388">
        <v>19000</v>
      </c>
      <c r="V66" s="389">
        <v>22222</v>
      </c>
      <c r="W66" s="390">
        <v>8.1999999999999993</v>
      </c>
      <c r="X66" s="404">
        <v>30</v>
      </c>
      <c r="Y66" s="377">
        <f t="shared" si="1"/>
        <v>60</v>
      </c>
      <c r="Z66" s="376">
        <f>IF(OR($AL$107=Devices[[#This Row],[Input Type]], 0=Devices[[#This Row],[Input Type]]),Devices[[#This Row],[Row Num]], " ")</f>
        <v>60</v>
      </c>
      <c r="AA66" s="376" t="str">
        <f>IF(OR($AL$108=Devices[[#This Row],[Input Type]], 0=Devices[[#This Row],[Input Type]]),Devices[[#This Row],[Row Num]], " ")</f>
        <v xml:space="preserve"> </v>
      </c>
      <c r="AB66" s="376" t="str">
        <f>IF(0=Devices[[#This Row],[Input Type]], Devices[[#This Row],[Row Num]], " ")</f>
        <v xml:space="preserve"> </v>
      </c>
      <c r="AC66" s="377">
        <f>IFERROR(SMALL(Devices[Row Sel D], Devices[[#This Row],[Row Num]]), " ")</f>
        <v>79</v>
      </c>
      <c r="AD66" s="377" t="str">
        <f>IFERROR(SMALL(Devices[Row Sel SE], Devices[[#This Row],[Row Num]]), " ")</f>
        <v xml:space="preserve"> </v>
      </c>
      <c r="AE66" s="377" t="str">
        <f>IFERROR(SMALL(Devices[Row Sel N], Devices[[#This Row],[Row Num]]), " ")</f>
        <v xml:space="preserve"> </v>
      </c>
      <c r="AF66" s="377" t="str">
        <f>IFERROR(INDEX(Devices[Part], Devices[[#This Row],[Sel D]], 1), "")</f>
        <v>AMC3302-Q1</v>
      </c>
      <c r="AG66" s="377" t="str">
        <f>IFERROR(INDEX(Devices[Part], Devices[[#This Row],[Sel SE]], 1), "")</f>
        <v/>
      </c>
      <c r="AH66" s="377" t="str">
        <f>IFERROR(INDEX(Devices[Part], Devices[[#This Row],[Sel N]], 1), "")</f>
        <v/>
      </c>
      <c r="AJ66" s="378"/>
    </row>
    <row r="67" spans="1:36" s="465" customFormat="1" ht="15" customHeight="1">
      <c r="A67" s="405" t="s">
        <v>181</v>
      </c>
      <c r="B67" s="380" t="s">
        <v>46</v>
      </c>
      <c r="C67" s="381" t="s">
        <v>46</v>
      </c>
      <c r="D67" s="399">
        <v>4.0000000000000002E-4</v>
      </c>
      <c r="E67" s="399">
        <v>3.0000000000000001E-3</v>
      </c>
      <c r="F67" s="406">
        <v>5</v>
      </c>
      <c r="G67" s="406">
        <v>30</v>
      </c>
      <c r="H67" s="482">
        <v>0.01</v>
      </c>
      <c r="I67" s="482">
        <v>0.2</v>
      </c>
      <c r="J67" s="407">
        <v>0.1</v>
      </c>
      <c r="K67" s="407">
        <v>0.9</v>
      </c>
      <c r="L67" s="399">
        <v>1E-4</v>
      </c>
      <c r="M67" s="399">
        <v>2.9999999999999997E-4</v>
      </c>
      <c r="N67" s="406">
        <v>0.4</v>
      </c>
      <c r="O67" s="406">
        <v>1.2</v>
      </c>
      <c r="P67" s="393">
        <v>250</v>
      </c>
      <c r="Q67" s="386" t="s">
        <v>264</v>
      </c>
      <c r="R67" s="387">
        <v>-40</v>
      </c>
      <c r="S67" s="387">
        <v>125</v>
      </c>
      <c r="T67" s="388">
        <v>12500</v>
      </c>
      <c r="U67" s="388">
        <v>19000</v>
      </c>
      <c r="V67" s="389">
        <v>22222</v>
      </c>
      <c r="W67" s="390">
        <v>8.1999999999999993</v>
      </c>
      <c r="X67" s="404">
        <v>30</v>
      </c>
      <c r="Y67" s="377">
        <f t="shared" si="1"/>
        <v>61</v>
      </c>
      <c r="Z67" s="377">
        <f>IF(OR($AL$107=Devices[[#This Row],[Input Type]], 0=Devices[[#This Row],[Input Type]]),Devices[[#This Row],[Row Num]], " ")</f>
        <v>61</v>
      </c>
      <c r="AA67" s="377" t="str">
        <f>IF(OR($AL$108=Devices[[#This Row],[Input Type]], 0=Devices[[#This Row],[Input Type]]),Devices[[#This Row],[Row Num]], " ")</f>
        <v xml:space="preserve"> </v>
      </c>
      <c r="AB67" s="377" t="str">
        <f>IF(0=Devices[[#This Row],[Input Type]], Devices[[#This Row],[Row Num]], " ")</f>
        <v xml:space="preserve"> </v>
      </c>
      <c r="AC67" s="377">
        <f>IFERROR(SMALL(Devices[Row Sel D], Devices[[#This Row],[Row Num]]), " ")</f>
        <v>80</v>
      </c>
      <c r="AD67" s="377" t="str">
        <f>IFERROR(SMALL(Devices[Row Sel SE], Devices[[#This Row],[Row Num]]), " ")</f>
        <v xml:space="preserve"> </v>
      </c>
      <c r="AE67" s="377" t="str">
        <f>IFERROR(SMALL(Devices[Row Sel N], Devices[[#This Row],[Row Num]]), " ")</f>
        <v xml:space="preserve"> </v>
      </c>
      <c r="AF67" s="377" t="str">
        <f>IFERROR(INDEX(Devices[Part], Devices[[#This Row],[Sel D]], 1), "")</f>
        <v>AMC3330</v>
      </c>
      <c r="AG67" s="395" t="str">
        <f>IFERROR(INDEX(Devices[Part], Devices[[#This Row],[Sel SE]], 1), "")</f>
        <v/>
      </c>
      <c r="AH67" s="395" t="str">
        <f>IFERROR(INDEX(Devices[Part], Devices[[#This Row],[Sel N]], 1), "")</f>
        <v/>
      </c>
      <c r="AJ67" s="378"/>
    </row>
    <row r="68" spans="1:36" s="465" customFormat="1" ht="15" customHeight="1">
      <c r="A68" s="405" t="s">
        <v>54</v>
      </c>
      <c r="B68" s="380" t="s">
        <v>46</v>
      </c>
      <c r="C68" s="381" t="s">
        <v>46</v>
      </c>
      <c r="D68" s="492">
        <v>4.0000000000000001E-3</v>
      </c>
      <c r="E68" s="492">
        <v>0.01</v>
      </c>
      <c r="F68" s="406">
        <v>50</v>
      </c>
      <c r="G68" s="406">
        <v>150</v>
      </c>
      <c r="H68" s="500">
        <v>0.01</v>
      </c>
      <c r="I68" s="500">
        <v>2</v>
      </c>
      <c r="J68" s="407">
        <v>1.3</v>
      </c>
      <c r="K68" s="407">
        <v>4</v>
      </c>
      <c r="L68" s="399">
        <v>1E-4</v>
      </c>
      <c r="M68" s="399">
        <v>2.9999999999999997E-4</v>
      </c>
      <c r="N68" s="406">
        <v>1</v>
      </c>
      <c r="O68" s="406">
        <v>3</v>
      </c>
      <c r="P68" s="393">
        <v>250</v>
      </c>
      <c r="Q68" s="386" t="s">
        <v>264</v>
      </c>
      <c r="R68" s="387">
        <v>-40</v>
      </c>
      <c r="S68" s="387">
        <v>125</v>
      </c>
      <c r="T68" s="388">
        <v>12500</v>
      </c>
      <c r="U68" s="388">
        <v>19000</v>
      </c>
      <c r="V68" s="389">
        <v>22222</v>
      </c>
      <c r="W68" s="390">
        <v>8.1999999999999993</v>
      </c>
      <c r="X68" s="404">
        <v>30</v>
      </c>
      <c r="Y68" s="395">
        <f t="shared" si="1"/>
        <v>62</v>
      </c>
      <c r="Z68" s="395">
        <f>IF(OR($AL$107=Devices[[#This Row],[Input Type]], 0=Devices[[#This Row],[Input Type]]),Devices[[#This Row],[Row Num]], " ")</f>
        <v>62</v>
      </c>
      <c r="AA68" s="395" t="str">
        <f>IF(OR($AL$108=Devices[[#This Row],[Input Type]], 0=Devices[[#This Row],[Input Type]]),Devices[[#This Row],[Row Num]], " ")</f>
        <v xml:space="preserve"> </v>
      </c>
      <c r="AB68" s="395" t="str">
        <f>IF(0=Devices[[#This Row],[Input Type]], Devices[[#This Row],[Row Num]], " ")</f>
        <v xml:space="preserve"> </v>
      </c>
      <c r="AC68" s="395">
        <f>IFERROR(SMALL(Devices[Row Sel D], Devices[[#This Row],[Row Num]]), " ")</f>
        <v>81</v>
      </c>
      <c r="AD68" s="395" t="str">
        <f>IFERROR(SMALL(Devices[Row Sel SE], Devices[[#This Row],[Row Num]]), " ")</f>
        <v xml:space="preserve"> </v>
      </c>
      <c r="AE68" s="395" t="str">
        <f>IFERROR(SMALL(Devices[Row Sel N], Devices[[#This Row],[Row Num]]), " ")</f>
        <v xml:space="preserve"> </v>
      </c>
      <c r="AF68" s="395" t="str">
        <f>IFERROR(INDEX(Devices[Part], Devices[[#This Row],[Sel D]], 1), "")</f>
        <v>AMC3330-Q1</v>
      </c>
      <c r="AG68" s="395" t="str">
        <f>IFERROR(INDEX(Devices[Part], Devices[[#This Row],[Sel SE]], 1), "")</f>
        <v/>
      </c>
      <c r="AH68" s="395" t="str">
        <f>IFERROR(INDEX(Devices[Part], Devices[[#This Row],[Sel N]], 1), "")</f>
        <v/>
      </c>
      <c r="AJ68" s="378"/>
    </row>
    <row r="69" spans="1:36" s="465" customFormat="1" ht="15" customHeight="1">
      <c r="A69" s="405" t="s">
        <v>14</v>
      </c>
      <c r="B69" s="380" t="s">
        <v>46</v>
      </c>
      <c r="C69" s="381" t="s">
        <v>46</v>
      </c>
      <c r="D69" s="399">
        <v>5.0000000000000001E-4</v>
      </c>
      <c r="E69" s="399">
        <v>3.0000000000000001E-3</v>
      </c>
      <c r="F69" s="406">
        <v>15</v>
      </c>
      <c r="G69" s="406">
        <v>50</v>
      </c>
      <c r="H69" s="482">
        <v>0.05</v>
      </c>
      <c r="I69" s="482">
        <v>0.2</v>
      </c>
      <c r="J69" s="407">
        <v>1</v>
      </c>
      <c r="K69" s="407">
        <v>3</v>
      </c>
      <c r="L69" s="399">
        <v>1E-4</v>
      </c>
      <c r="M69" s="399">
        <v>2.9999999999999997E-4</v>
      </c>
      <c r="N69" s="406">
        <v>1</v>
      </c>
      <c r="O69" s="406">
        <v>3</v>
      </c>
      <c r="P69" s="393">
        <v>250</v>
      </c>
      <c r="Q69" s="386" t="s">
        <v>264</v>
      </c>
      <c r="R69" s="387">
        <v>-40</v>
      </c>
      <c r="S69" s="387">
        <v>125</v>
      </c>
      <c r="T69" s="388">
        <v>12500</v>
      </c>
      <c r="U69" s="388">
        <v>18000</v>
      </c>
      <c r="V69" s="389">
        <v>22222</v>
      </c>
      <c r="W69" s="390">
        <v>8.1999999999999993</v>
      </c>
      <c r="X69" s="404">
        <v>30</v>
      </c>
      <c r="Y69" s="376">
        <f t="shared" si="1"/>
        <v>63</v>
      </c>
      <c r="Z69" s="376">
        <f>IF(OR($AL$107=Devices[[#This Row],[Input Type]], 0=Devices[[#This Row],[Input Type]]),Devices[[#This Row],[Row Num]], " ")</f>
        <v>63</v>
      </c>
      <c r="AA69" s="376" t="str">
        <f>IF(OR($AL$108=Devices[[#This Row],[Input Type]], 0=Devices[[#This Row],[Input Type]]),Devices[[#This Row],[Row Num]], " ")</f>
        <v xml:space="preserve"> </v>
      </c>
      <c r="AB69" s="376" t="str">
        <f>IF(0=Devices[[#This Row],[Input Type]], Devices[[#This Row],[Row Num]], " ")</f>
        <v xml:space="preserve"> </v>
      </c>
      <c r="AC69" s="377">
        <f>IFERROR(SMALL(Devices[Row Sel D], Devices[[#This Row],[Row Num]]), " ")</f>
        <v>84</v>
      </c>
      <c r="AD69" s="377" t="str">
        <f>IFERROR(SMALL(Devices[Row Sel SE], Devices[[#This Row],[Row Num]]), " ")</f>
        <v xml:space="preserve"> </v>
      </c>
      <c r="AE69" s="377" t="str">
        <f>IFERROR(SMALL(Devices[Row Sel N], Devices[[#This Row],[Row Num]]), " ")</f>
        <v xml:space="preserve"> </v>
      </c>
      <c r="AF69" s="377">
        <f>IFERROR(INDEX(Devices[Part], Devices[[#This Row],[Sel D]], 1), "")</f>
        <v>0</v>
      </c>
      <c r="AG69" s="377" t="str">
        <f>IFERROR(INDEX(Devices[Part], Devices[[#This Row],[Sel SE]], 1), "")</f>
        <v/>
      </c>
      <c r="AH69" s="377" t="str">
        <f>IFERROR(INDEX(Devices[Part], Devices[[#This Row],[Sel N]], 1), "")</f>
        <v/>
      </c>
      <c r="AJ69" s="378"/>
    </row>
    <row r="70" spans="1:36" s="465" customFormat="1" ht="15" customHeight="1">
      <c r="A70" s="405" t="s">
        <v>16</v>
      </c>
      <c r="B70" s="380" t="s">
        <v>46</v>
      </c>
      <c r="C70" s="381" t="s">
        <v>46</v>
      </c>
      <c r="D70" s="399">
        <v>5.0000000000000001E-4</v>
      </c>
      <c r="E70" s="399">
        <v>3.0000000000000001E-3</v>
      </c>
      <c r="F70" s="406">
        <v>15</v>
      </c>
      <c r="G70" s="406">
        <v>50</v>
      </c>
      <c r="H70" s="482">
        <v>0.05</v>
      </c>
      <c r="I70" s="482">
        <v>0.2</v>
      </c>
      <c r="J70" s="407">
        <v>1</v>
      </c>
      <c r="K70" s="407">
        <v>3</v>
      </c>
      <c r="L70" s="399">
        <v>1E-4</v>
      </c>
      <c r="M70" s="399">
        <v>2.9999999999999997E-4</v>
      </c>
      <c r="N70" s="406">
        <v>1</v>
      </c>
      <c r="O70" s="406">
        <v>3</v>
      </c>
      <c r="P70" s="393">
        <v>250</v>
      </c>
      <c r="Q70" s="386" t="s">
        <v>264</v>
      </c>
      <c r="R70" s="387">
        <v>-40</v>
      </c>
      <c r="S70" s="387">
        <v>125</v>
      </c>
      <c r="T70" s="388">
        <v>12500</v>
      </c>
      <c r="U70" s="388">
        <v>18000</v>
      </c>
      <c r="V70" s="389">
        <v>22222</v>
      </c>
      <c r="W70" s="390">
        <v>8.1999999999999993</v>
      </c>
      <c r="X70" s="404">
        <v>30</v>
      </c>
      <c r="Y70" s="376">
        <f t="shared" si="1"/>
        <v>64</v>
      </c>
      <c r="Z70" s="376">
        <f>IF(OR($AL$107=Devices[[#This Row],[Input Type]], 0=Devices[[#This Row],[Input Type]]),Devices[[#This Row],[Row Num]], " ")</f>
        <v>64</v>
      </c>
      <c r="AA70" s="376" t="str">
        <f>IF(OR($AL$108=Devices[[#This Row],[Input Type]], 0=Devices[[#This Row],[Input Type]]),Devices[[#This Row],[Row Num]], " ")</f>
        <v xml:space="preserve"> </v>
      </c>
      <c r="AB70" s="376" t="str">
        <f>IF(0=Devices[[#This Row],[Input Type]], Devices[[#This Row],[Row Num]], " ")</f>
        <v xml:space="preserve"> </v>
      </c>
      <c r="AC70" s="377">
        <f>IFERROR(SMALL(Devices[Row Sel D], Devices[[#This Row],[Row Num]]), " ")</f>
        <v>85</v>
      </c>
      <c r="AD70" s="377" t="str">
        <f>IFERROR(SMALL(Devices[Row Sel SE], Devices[[#This Row],[Row Num]]), " ")</f>
        <v xml:space="preserve"> </v>
      </c>
      <c r="AE70" s="377" t="str">
        <f>IFERROR(SMALL(Devices[Row Sel N], Devices[[#This Row],[Row Num]]), " ")</f>
        <v xml:space="preserve"> </v>
      </c>
      <c r="AF70" s="377">
        <f>IFERROR(INDEX(Devices[Part], Devices[[#This Row],[Sel D]], 1), "")</f>
        <v>0</v>
      </c>
      <c r="AG70" s="377" t="str">
        <f>IFERROR(INDEX(Devices[Part], Devices[[#This Row],[Sel SE]], 1), "")</f>
        <v/>
      </c>
      <c r="AH70" s="377" t="str">
        <f>IFERROR(INDEX(Devices[Part], Devices[[#This Row],[Sel N]], 1), "")</f>
        <v/>
      </c>
      <c r="AJ70" s="378"/>
    </row>
    <row r="71" spans="1:36" s="465" customFormat="1" ht="15" customHeight="1">
      <c r="A71" s="405" t="s">
        <v>65</v>
      </c>
      <c r="B71" s="380" t="s">
        <v>46</v>
      </c>
      <c r="C71" s="381" t="s">
        <v>46</v>
      </c>
      <c r="D71" s="399">
        <v>5.0000000000000001E-4</v>
      </c>
      <c r="E71" s="399">
        <v>3.0000000000000001E-3</v>
      </c>
      <c r="F71" s="406">
        <v>15</v>
      </c>
      <c r="G71" s="406">
        <v>60</v>
      </c>
      <c r="H71" s="482">
        <v>0.05</v>
      </c>
      <c r="I71" s="482">
        <v>0.2</v>
      </c>
      <c r="J71" s="407">
        <v>1</v>
      </c>
      <c r="K71" s="407">
        <v>4</v>
      </c>
      <c r="L71" s="399">
        <v>1E-4</v>
      </c>
      <c r="M71" s="399">
        <v>2.9999999999999997E-4</v>
      </c>
      <c r="N71" s="406">
        <v>1</v>
      </c>
      <c r="O71" s="406">
        <v>3</v>
      </c>
      <c r="P71" s="393">
        <v>250</v>
      </c>
      <c r="Q71" s="386" t="s">
        <v>264</v>
      </c>
      <c r="R71" s="387">
        <v>-55</v>
      </c>
      <c r="S71" s="387">
        <v>125</v>
      </c>
      <c r="T71" s="388">
        <v>12500</v>
      </c>
      <c r="U71" s="388">
        <v>18000</v>
      </c>
      <c r="V71" s="389">
        <v>22222</v>
      </c>
      <c r="W71" s="390">
        <v>8.1999999999999993</v>
      </c>
      <c r="X71" s="404">
        <v>30</v>
      </c>
      <c r="Y71" s="377">
        <f t="shared" ref="Y71:Y105" si="2">ROW()-6</f>
        <v>65</v>
      </c>
      <c r="Z71" s="376">
        <f>IF(OR($AL$107=Devices[[#This Row],[Input Type]], 0=Devices[[#This Row],[Input Type]]),Devices[[#This Row],[Row Num]], " ")</f>
        <v>65</v>
      </c>
      <c r="AA71" s="376" t="str">
        <f>IF(OR($AL$108=Devices[[#This Row],[Input Type]], 0=Devices[[#This Row],[Input Type]]),Devices[[#This Row],[Row Num]], " ")</f>
        <v xml:space="preserve"> </v>
      </c>
      <c r="AB71" s="376" t="str">
        <f>IF(0=Devices[[#This Row],[Input Type]], Devices[[#This Row],[Row Num]], " ")</f>
        <v xml:space="preserve"> </v>
      </c>
      <c r="AC71" s="377">
        <f>IFERROR(SMALL(Devices[Row Sel D], Devices[[#This Row],[Row Num]]), " ")</f>
        <v>86</v>
      </c>
      <c r="AD71" s="377" t="str">
        <f>IFERROR(SMALL(Devices[Row Sel SE], Devices[[#This Row],[Row Num]]), " ")</f>
        <v xml:space="preserve"> </v>
      </c>
      <c r="AE71" s="377" t="str">
        <f>IFERROR(SMALL(Devices[Row Sel N], Devices[[#This Row],[Row Num]]), " ")</f>
        <v xml:space="preserve"> </v>
      </c>
      <c r="AF71" s="377">
        <f>IFERROR(INDEX(Devices[Part], Devices[[#This Row],[Sel D]], 1), "")</f>
        <v>0</v>
      </c>
      <c r="AG71" s="377" t="str">
        <f>IFERROR(INDEX(Devices[Part], Devices[[#This Row],[Sel SE]], 1), "")</f>
        <v/>
      </c>
      <c r="AH71" s="377" t="str">
        <f>IFERROR(INDEX(Devices[Part], Devices[[#This Row],[Sel N]], 1), "")</f>
        <v/>
      </c>
      <c r="AJ71" s="378"/>
    </row>
    <row r="72" spans="1:36" s="437" customFormat="1" ht="15" customHeight="1">
      <c r="A72" s="405" t="s">
        <v>15</v>
      </c>
      <c r="B72" s="380" t="s">
        <v>46</v>
      </c>
      <c r="C72" s="381" t="s">
        <v>46</v>
      </c>
      <c r="D72" s="399">
        <v>4.0000000000000002E-4</v>
      </c>
      <c r="E72" s="399">
        <v>2E-3</v>
      </c>
      <c r="F72" s="383">
        <v>3</v>
      </c>
      <c r="G72" s="383">
        <v>35</v>
      </c>
      <c r="H72" s="482">
        <v>2.5000000000000001E-3</v>
      </c>
      <c r="I72" s="482">
        <v>0.05</v>
      </c>
      <c r="J72" s="407">
        <v>0.15</v>
      </c>
      <c r="K72" s="407">
        <v>0.8</v>
      </c>
      <c r="L72" s="399">
        <v>1E-4</v>
      </c>
      <c r="M72" s="399">
        <v>2.9999999999999997E-4</v>
      </c>
      <c r="N72" s="406">
        <v>1</v>
      </c>
      <c r="O72" s="406">
        <v>3</v>
      </c>
      <c r="P72" s="393">
        <v>50</v>
      </c>
      <c r="Q72" s="386" t="s">
        <v>264</v>
      </c>
      <c r="R72" s="387">
        <v>-55</v>
      </c>
      <c r="S72" s="387">
        <v>125</v>
      </c>
      <c r="T72" s="388">
        <v>2500</v>
      </c>
      <c r="U72" s="388">
        <v>4750</v>
      </c>
      <c r="V72" s="389">
        <v>4900</v>
      </c>
      <c r="W72" s="390">
        <v>41</v>
      </c>
      <c r="X72" s="404">
        <v>36</v>
      </c>
      <c r="Y72" s="376">
        <f t="shared" si="2"/>
        <v>66</v>
      </c>
      <c r="Z72" s="376">
        <f>IF(OR($AL$107=Devices[[#This Row],[Input Type]], 0=Devices[[#This Row],[Input Type]]),Devices[[#This Row],[Row Num]], " ")</f>
        <v>66</v>
      </c>
      <c r="AA72" s="376" t="str">
        <f>IF(OR($AL$108=Devices[[#This Row],[Input Type]], 0=Devices[[#This Row],[Input Type]]),Devices[[#This Row],[Row Num]], " ")</f>
        <v xml:space="preserve"> </v>
      </c>
      <c r="AB72" s="376" t="str">
        <f>IF(0=Devices[[#This Row],[Input Type]], Devices[[#This Row],[Row Num]], " ")</f>
        <v xml:space="preserve"> </v>
      </c>
      <c r="AC72" s="377">
        <f>IFERROR(SMALL(Devices[Row Sel D], Devices[[#This Row],[Row Num]]), " ")</f>
        <v>87</v>
      </c>
      <c r="AD72" s="377" t="str">
        <f>IFERROR(SMALL(Devices[Row Sel SE], Devices[[#This Row],[Row Num]]), " ")</f>
        <v xml:space="preserve"> </v>
      </c>
      <c r="AE72" s="377" t="str">
        <f>IFERROR(SMALL(Devices[Row Sel N], Devices[[#This Row],[Row Num]]), " ")</f>
        <v xml:space="preserve"> </v>
      </c>
      <c r="AF72" s="377">
        <f>IFERROR(INDEX(Devices[Part], Devices[[#This Row],[Sel D]], 1), "")</f>
        <v>0</v>
      </c>
      <c r="AG72" s="377" t="str">
        <f>IFERROR(INDEX(Devices[Part], Devices[[#This Row],[Sel SE]], 1), "")</f>
        <v/>
      </c>
      <c r="AH72" s="377" t="str">
        <f>IFERROR(INDEX(Devices[Part], Devices[[#This Row],[Sel N]], 1), "")</f>
        <v/>
      </c>
      <c r="AJ72" s="378"/>
    </row>
    <row r="73" spans="1:36" s="437" customFormat="1" ht="15" customHeight="1">
      <c r="A73" s="405" t="s">
        <v>96</v>
      </c>
      <c r="B73" s="380" t="s">
        <v>46</v>
      </c>
      <c r="C73" s="381" t="s">
        <v>46</v>
      </c>
      <c r="D73" s="399">
        <v>4.0000000000000002E-4</v>
      </c>
      <c r="E73" s="399">
        <v>2E-3</v>
      </c>
      <c r="F73" s="383">
        <v>3</v>
      </c>
      <c r="G73" s="383">
        <v>35</v>
      </c>
      <c r="H73" s="482">
        <v>2.5000000000000001E-3</v>
      </c>
      <c r="I73" s="482">
        <v>0.05</v>
      </c>
      <c r="J73" s="384">
        <v>0.15</v>
      </c>
      <c r="K73" s="384">
        <v>0.8</v>
      </c>
      <c r="L73" s="382">
        <v>1E-4</v>
      </c>
      <c r="M73" s="382">
        <v>2.9999999999999997E-4</v>
      </c>
      <c r="N73" s="383">
        <v>1</v>
      </c>
      <c r="O73" s="383">
        <v>3</v>
      </c>
      <c r="P73" s="385">
        <v>50</v>
      </c>
      <c r="Q73" s="386" t="s">
        <v>264</v>
      </c>
      <c r="R73" s="387">
        <v>-55</v>
      </c>
      <c r="S73" s="387">
        <v>125</v>
      </c>
      <c r="T73" s="388">
        <v>2500</v>
      </c>
      <c r="U73" s="388">
        <v>4750</v>
      </c>
      <c r="V73" s="389">
        <v>4900</v>
      </c>
      <c r="W73" s="390">
        <v>41</v>
      </c>
      <c r="X73" s="404">
        <v>36</v>
      </c>
      <c r="Y73" s="377">
        <f t="shared" si="2"/>
        <v>67</v>
      </c>
      <c r="Z73" s="376">
        <f>IF(OR($AL$107=Devices[[#This Row],[Input Type]], 0=Devices[[#This Row],[Input Type]]),Devices[[#This Row],[Row Num]], " ")</f>
        <v>67</v>
      </c>
      <c r="AA73" s="376" t="str">
        <f>IF(OR($AL$108=Devices[[#This Row],[Input Type]], 0=Devices[[#This Row],[Input Type]]),Devices[[#This Row],[Row Num]], " ")</f>
        <v xml:space="preserve"> </v>
      </c>
      <c r="AB73" s="376" t="str">
        <f>IF(0=Devices[[#This Row],[Input Type]], Devices[[#This Row],[Row Num]], " ")</f>
        <v xml:space="preserve"> </v>
      </c>
      <c r="AC73" s="377">
        <f>IFERROR(SMALL(Devices[Row Sel D], Devices[[#This Row],[Row Num]]), " ")</f>
        <v>88</v>
      </c>
      <c r="AD73" s="377" t="str">
        <f>IFERROR(SMALL(Devices[Row Sel SE], Devices[[#This Row],[Row Num]]), " ")</f>
        <v xml:space="preserve"> </v>
      </c>
      <c r="AE73" s="377" t="str">
        <f>IFERROR(SMALL(Devices[Row Sel N], Devices[[#This Row],[Row Num]]), " ")</f>
        <v xml:space="preserve"> </v>
      </c>
      <c r="AF73" s="377">
        <f>IFERROR(INDEX(Devices[Part], Devices[[#This Row],[Sel D]], 1), "")</f>
        <v>0</v>
      </c>
      <c r="AG73" s="377" t="str">
        <f>IFERROR(INDEX(Devices[Part], Devices[[#This Row],[Sel SE]], 1), "")</f>
        <v/>
      </c>
      <c r="AH73" s="377" t="str">
        <f>IFERROR(INDEX(Devices[Part], Devices[[#This Row],[Sel N]], 1), "")</f>
        <v/>
      </c>
      <c r="AJ73" s="378"/>
    </row>
    <row r="74" spans="1:36" s="437" customFormat="1" ht="15" customHeight="1">
      <c r="A74" s="485" t="s">
        <v>39</v>
      </c>
      <c r="B74" s="380" t="s">
        <v>47</v>
      </c>
      <c r="C74" s="381" t="s">
        <v>46</v>
      </c>
      <c r="D74" s="382">
        <v>4.0000000000000001E-3</v>
      </c>
      <c r="E74" s="382">
        <v>0.01</v>
      </c>
      <c r="F74" s="383">
        <v>30</v>
      </c>
      <c r="G74" s="383">
        <v>90</v>
      </c>
      <c r="H74" s="480">
        <v>0.4</v>
      </c>
      <c r="I74" s="479">
        <v>9.9</v>
      </c>
      <c r="J74" s="384">
        <v>20</v>
      </c>
      <c r="K74" s="384">
        <v>60</v>
      </c>
      <c r="L74" s="382">
        <v>1E-4</v>
      </c>
      <c r="M74" s="382">
        <v>4.0000000000000002E-4</v>
      </c>
      <c r="N74" s="383">
        <v>1</v>
      </c>
      <c r="O74" s="383">
        <v>3</v>
      </c>
      <c r="P74" s="385">
        <v>2000</v>
      </c>
      <c r="Q74" s="386" t="s">
        <v>273</v>
      </c>
      <c r="R74" s="387">
        <v>-40</v>
      </c>
      <c r="S74" s="387">
        <v>125</v>
      </c>
      <c r="T74" s="394"/>
      <c r="U74" s="394">
        <v>1000000000</v>
      </c>
      <c r="V74" s="419">
        <v>1000000000</v>
      </c>
      <c r="W74" s="390">
        <v>1</v>
      </c>
      <c r="X74" s="520">
        <v>3.5000000000000001E-3</v>
      </c>
      <c r="Y74" s="395">
        <f t="shared" si="2"/>
        <v>68</v>
      </c>
      <c r="Z74" s="395" t="str">
        <f>IF(OR($AL$107=Devices[[#This Row],[Input Type]], 0=Devices[[#This Row],[Input Type]]),Devices[[#This Row],[Row Num]], " ")</f>
        <v xml:space="preserve"> </v>
      </c>
      <c r="AA74" s="395">
        <f>IF(OR($AL$108=Devices[[#This Row],[Input Type]], 0=Devices[[#This Row],[Input Type]]),Devices[[#This Row],[Row Num]], " ")</f>
        <v>68</v>
      </c>
      <c r="AB74" s="395" t="str">
        <f>IF(0=Devices[[#This Row],[Input Type]], Devices[[#This Row],[Row Num]], " ")</f>
        <v xml:space="preserve"> </v>
      </c>
      <c r="AC74" s="395">
        <f>IFERROR(SMALL(Devices[Row Sel D], Devices[[#This Row],[Row Num]]), " ")</f>
        <v>89</v>
      </c>
      <c r="AD74" s="395" t="str">
        <f>IFERROR(SMALL(Devices[Row Sel SE], Devices[[#This Row],[Row Num]]), " ")</f>
        <v xml:space="preserve"> </v>
      </c>
      <c r="AE74" s="395" t="str">
        <f>IFERROR(SMALL(Devices[Row Sel N], Devices[[#This Row],[Row Num]]), " ")</f>
        <v xml:space="preserve"> </v>
      </c>
      <c r="AF74" s="395">
        <f>IFERROR(INDEX(Devices[Part], Devices[[#This Row],[Sel D]], 1), "")</f>
        <v>0</v>
      </c>
      <c r="AG74" s="395" t="str">
        <f>IFERROR(INDEX(Devices[Part], Devices[[#This Row],[Sel SE]], 1), "")</f>
        <v/>
      </c>
      <c r="AH74" s="395" t="str">
        <f>IFERROR(INDEX(Devices[Part], Devices[[#This Row],[Sel N]], 1), "")</f>
        <v/>
      </c>
      <c r="AJ74" s="378"/>
    </row>
    <row r="75" spans="1:36" s="437" customFormat="1" ht="15" customHeight="1">
      <c r="A75" s="485" t="s">
        <v>67</v>
      </c>
      <c r="B75" s="380" t="s">
        <v>47</v>
      </c>
      <c r="C75" s="381" t="s">
        <v>46</v>
      </c>
      <c r="D75" s="399">
        <v>5.0000000000000001E-4</v>
      </c>
      <c r="E75" s="399">
        <v>2E-3</v>
      </c>
      <c r="F75" s="406">
        <v>5</v>
      </c>
      <c r="G75" s="406">
        <v>40</v>
      </c>
      <c r="H75" s="480">
        <v>0.4</v>
      </c>
      <c r="I75" s="482">
        <v>1.5</v>
      </c>
      <c r="J75" s="407">
        <v>3</v>
      </c>
      <c r="K75" s="407">
        <v>10</v>
      </c>
      <c r="L75" s="399">
        <v>1E-4</v>
      </c>
      <c r="M75" s="399">
        <v>4.0000000000000002E-4</v>
      </c>
      <c r="N75" s="406">
        <v>1</v>
      </c>
      <c r="O75" s="406">
        <v>3</v>
      </c>
      <c r="P75" s="393">
        <v>2000</v>
      </c>
      <c r="Q75" s="386" t="s">
        <v>273</v>
      </c>
      <c r="R75" s="424">
        <v>-55</v>
      </c>
      <c r="S75" s="424">
        <v>125</v>
      </c>
      <c r="T75" s="388"/>
      <c r="U75" s="388">
        <v>1000000000</v>
      </c>
      <c r="V75" s="389">
        <v>1000000000</v>
      </c>
      <c r="W75" s="390">
        <v>1</v>
      </c>
      <c r="X75" s="415">
        <v>3.5000000000000001E-3</v>
      </c>
      <c r="Y75" s="395">
        <f t="shared" si="2"/>
        <v>69</v>
      </c>
      <c r="Z75" s="395" t="str">
        <f>IF(OR($AL$107=Devices[[#This Row],[Input Type]], 0=Devices[[#This Row],[Input Type]]),Devices[[#This Row],[Row Num]], " ")</f>
        <v xml:space="preserve"> </v>
      </c>
      <c r="AA75" s="395">
        <f>IF(OR($AL$108=Devices[[#This Row],[Input Type]], 0=Devices[[#This Row],[Input Type]]),Devices[[#This Row],[Row Num]], " ")</f>
        <v>69</v>
      </c>
      <c r="AB75" s="395" t="str">
        <f>IF(0=Devices[[#This Row],[Input Type]], Devices[[#This Row],[Row Num]], " ")</f>
        <v xml:space="preserve"> </v>
      </c>
      <c r="AC75" s="395">
        <f>IFERROR(SMALL(Devices[Row Sel D], Devices[[#This Row],[Row Num]]), " ")</f>
        <v>90</v>
      </c>
      <c r="AD75" s="395" t="str">
        <f>IFERROR(SMALL(Devices[Row Sel SE], Devices[[#This Row],[Row Num]]), " ")</f>
        <v xml:space="preserve"> </v>
      </c>
      <c r="AE75" s="395" t="str">
        <f>IFERROR(SMALL(Devices[Row Sel N], Devices[[#This Row],[Row Num]]), " ")</f>
        <v xml:space="preserve"> </v>
      </c>
      <c r="AF75" s="395">
        <f>IFERROR(INDEX(Devices[Part], Devices[[#This Row],[Sel D]], 1), "")</f>
        <v>0</v>
      </c>
      <c r="AG75" s="395" t="str">
        <f>IFERROR(INDEX(Devices[Part], Devices[[#This Row],[Sel SE]], 1), "")</f>
        <v/>
      </c>
      <c r="AH75" s="395" t="str">
        <f>IFERROR(INDEX(Devices[Part], Devices[[#This Row],[Sel N]], 1), "")</f>
        <v/>
      </c>
      <c r="AJ75" s="378"/>
    </row>
    <row r="76" spans="1:36" s="437" customFormat="1" ht="15" customHeight="1">
      <c r="A76" s="485" t="s">
        <v>68</v>
      </c>
      <c r="B76" s="380" t="s">
        <v>47</v>
      </c>
      <c r="C76" s="381" t="s">
        <v>46</v>
      </c>
      <c r="D76" s="399">
        <v>5.0000000000000001E-4</v>
      </c>
      <c r="E76" s="399">
        <v>2E-3</v>
      </c>
      <c r="F76" s="406">
        <v>5</v>
      </c>
      <c r="G76" s="406">
        <v>40</v>
      </c>
      <c r="H76" s="480">
        <v>0.4</v>
      </c>
      <c r="I76" s="482">
        <v>1.5</v>
      </c>
      <c r="J76" s="407">
        <v>3</v>
      </c>
      <c r="K76" s="407">
        <v>10</v>
      </c>
      <c r="L76" s="399">
        <v>1E-4</v>
      </c>
      <c r="M76" s="399">
        <v>4.0000000000000002E-4</v>
      </c>
      <c r="N76" s="406">
        <v>1</v>
      </c>
      <c r="O76" s="406">
        <v>3</v>
      </c>
      <c r="P76" s="393">
        <v>2000</v>
      </c>
      <c r="Q76" s="386" t="s">
        <v>274</v>
      </c>
      <c r="R76" s="424">
        <v>-40</v>
      </c>
      <c r="S76" s="424">
        <v>125</v>
      </c>
      <c r="T76" s="388"/>
      <c r="U76" s="394">
        <v>1000000000</v>
      </c>
      <c r="V76" s="419">
        <v>1000000000</v>
      </c>
      <c r="W76" s="390">
        <v>1</v>
      </c>
      <c r="X76" s="520">
        <v>3.5000000000000001E-3</v>
      </c>
      <c r="Y76" s="395">
        <f t="shared" si="2"/>
        <v>70</v>
      </c>
      <c r="Z76" s="395" t="str">
        <f>IF(OR($AL$107=Devices[[#This Row],[Input Type]], 0=Devices[[#This Row],[Input Type]]),Devices[[#This Row],[Row Num]], " ")</f>
        <v xml:space="preserve"> </v>
      </c>
      <c r="AA76" s="395">
        <f>IF(OR($AL$108=Devices[[#This Row],[Input Type]], 0=Devices[[#This Row],[Input Type]]),Devices[[#This Row],[Row Num]], " ")</f>
        <v>70</v>
      </c>
      <c r="AB76" s="395" t="str">
        <f>IF(0=Devices[[#This Row],[Input Type]], Devices[[#This Row],[Row Num]], " ")</f>
        <v xml:space="preserve"> </v>
      </c>
      <c r="AC76" s="395">
        <f>IFERROR(SMALL(Devices[Row Sel D], Devices[[#This Row],[Row Num]]), " ")</f>
        <v>91</v>
      </c>
      <c r="AD76" s="395" t="str">
        <f>IFERROR(SMALL(Devices[Row Sel SE], Devices[[#This Row],[Row Num]]), " ")</f>
        <v xml:space="preserve"> </v>
      </c>
      <c r="AE76" s="395" t="str">
        <f>IFERROR(SMALL(Devices[Row Sel N], Devices[[#This Row],[Row Num]]), " ")</f>
        <v xml:space="preserve"> </v>
      </c>
      <c r="AF76" s="395">
        <f>IFERROR(INDEX(Devices[Part], Devices[[#This Row],[Sel D]], 1), "")</f>
        <v>0</v>
      </c>
      <c r="AG76" s="395" t="str">
        <f>IFERROR(INDEX(Devices[Part], Devices[[#This Row],[Sel SE]], 1), "")</f>
        <v/>
      </c>
      <c r="AH76" s="395" t="str">
        <f>IFERROR(INDEX(Devices[Part], Devices[[#This Row],[Sel N]], 1), "")</f>
        <v/>
      </c>
      <c r="AJ76" s="378"/>
    </row>
    <row r="77" spans="1:36" s="437" customFormat="1" ht="15" customHeight="1">
      <c r="A77" s="485" t="s">
        <v>40</v>
      </c>
      <c r="B77" s="380" t="s">
        <v>47</v>
      </c>
      <c r="C77" s="381" t="s">
        <v>46</v>
      </c>
      <c r="D77" s="382">
        <v>4.0000000000000001E-3</v>
      </c>
      <c r="E77" s="382">
        <v>0.01</v>
      </c>
      <c r="F77" s="383">
        <v>30</v>
      </c>
      <c r="G77" s="383">
        <v>90</v>
      </c>
      <c r="H77" s="480">
        <v>0.4</v>
      </c>
      <c r="I77" s="479">
        <v>9.9</v>
      </c>
      <c r="J77" s="384">
        <v>20</v>
      </c>
      <c r="K77" s="384">
        <v>60</v>
      </c>
      <c r="L77" s="382">
        <v>1E-4</v>
      </c>
      <c r="M77" s="382">
        <v>4.0000000000000002E-4</v>
      </c>
      <c r="N77" s="383">
        <v>1</v>
      </c>
      <c r="O77" s="383">
        <v>3</v>
      </c>
      <c r="P77" s="385">
        <v>2000</v>
      </c>
      <c r="Q77" s="386" t="s">
        <v>273</v>
      </c>
      <c r="R77" s="387">
        <v>-40</v>
      </c>
      <c r="S77" s="387">
        <v>125</v>
      </c>
      <c r="T77" s="394"/>
      <c r="U77" s="394">
        <v>1000000000</v>
      </c>
      <c r="V77" s="419">
        <v>1000000000</v>
      </c>
      <c r="W77" s="390">
        <v>1</v>
      </c>
      <c r="X77" s="520">
        <v>3.5000000000000001E-3</v>
      </c>
      <c r="Y77" s="395">
        <f t="shared" si="2"/>
        <v>71</v>
      </c>
      <c r="Z77" s="395" t="str">
        <f>IF(OR($AL$107=Devices[[#This Row],[Input Type]], 0=Devices[[#This Row],[Input Type]]),Devices[[#This Row],[Row Num]], " ")</f>
        <v xml:space="preserve"> </v>
      </c>
      <c r="AA77" s="395">
        <f>IF(OR($AL$108=Devices[[#This Row],[Input Type]], 0=Devices[[#This Row],[Input Type]]),Devices[[#This Row],[Row Num]], " ")</f>
        <v>71</v>
      </c>
      <c r="AB77" s="395" t="str">
        <f>IF(0=Devices[[#This Row],[Input Type]], Devices[[#This Row],[Row Num]], " ")</f>
        <v xml:space="preserve"> </v>
      </c>
      <c r="AC77" s="395">
        <f>IFERROR(SMALL(Devices[Row Sel D], Devices[[#This Row],[Row Num]]), " ")</f>
        <v>92</v>
      </c>
      <c r="AD77" s="395" t="str">
        <f>IFERROR(SMALL(Devices[Row Sel SE], Devices[[#This Row],[Row Num]]), " ")</f>
        <v xml:space="preserve"> </v>
      </c>
      <c r="AE77" s="395" t="str">
        <f>IFERROR(SMALL(Devices[Row Sel N], Devices[[#This Row],[Row Num]]), " ")</f>
        <v xml:space="preserve"> </v>
      </c>
      <c r="AF77" s="395">
        <f>IFERROR(INDEX(Devices[Part], Devices[[#This Row],[Sel D]], 1), "")</f>
        <v>0</v>
      </c>
      <c r="AG77" s="395" t="str">
        <f>IFERROR(INDEX(Devices[Part], Devices[[#This Row],[Sel SE]], 1), "")</f>
        <v/>
      </c>
      <c r="AH77" s="395" t="str">
        <f>IFERROR(INDEX(Devices[Part], Devices[[#This Row],[Sel N]], 1), "")</f>
        <v/>
      </c>
      <c r="AJ77" s="378"/>
    </row>
    <row r="78" spans="1:36" s="465" customFormat="1" ht="15" customHeight="1">
      <c r="A78" s="405" t="s">
        <v>190</v>
      </c>
      <c r="B78" s="380" t="s">
        <v>46</v>
      </c>
      <c r="C78" s="381" t="s">
        <v>46</v>
      </c>
      <c r="D78" s="382">
        <v>5.0000000000000001E-4</v>
      </c>
      <c r="E78" s="382">
        <v>2E-3</v>
      </c>
      <c r="F78" s="383">
        <v>10</v>
      </c>
      <c r="G78" s="383">
        <v>35</v>
      </c>
      <c r="H78" s="479">
        <v>0.4</v>
      </c>
      <c r="I78" s="479">
        <v>1.5</v>
      </c>
      <c r="J78" s="384">
        <v>3</v>
      </c>
      <c r="K78" s="384">
        <v>10</v>
      </c>
      <c r="L78" s="449">
        <v>3.0000000000000001E-5</v>
      </c>
      <c r="M78" s="382">
        <v>1E-4</v>
      </c>
      <c r="N78" s="383">
        <v>1</v>
      </c>
      <c r="O78" s="383">
        <v>3</v>
      </c>
      <c r="P78" s="385">
        <v>5000</v>
      </c>
      <c r="Q78" s="386" t="s">
        <v>273</v>
      </c>
      <c r="R78" s="387">
        <v>-40</v>
      </c>
      <c r="S78" s="387">
        <v>125</v>
      </c>
      <c r="T78" s="388"/>
      <c r="U78" s="388">
        <v>1250000</v>
      </c>
      <c r="V78" s="389">
        <v>2500000</v>
      </c>
      <c r="W78" s="390">
        <v>0.4</v>
      </c>
      <c r="X78" s="417">
        <v>0</v>
      </c>
      <c r="Y78" s="392">
        <f t="shared" si="2"/>
        <v>72</v>
      </c>
      <c r="Z78" s="392">
        <f>IF(OR($AL$107=Devices[[#This Row],[Input Type]], 0=Devices[[#This Row],[Input Type]]),Devices[[#This Row],[Row Num]], " ")</f>
        <v>72</v>
      </c>
      <c r="AA78" s="392" t="str">
        <f>IF(OR($AL$108=Devices[[#This Row],[Input Type]], 0=Devices[[#This Row],[Input Type]]),Devices[[#This Row],[Row Num]], " ")</f>
        <v xml:space="preserve"> </v>
      </c>
      <c r="AB78" s="392" t="str">
        <f>IF(0=Devices[[#This Row],[Input Type]], Devices[[#This Row],[Row Num]], " ")</f>
        <v xml:space="preserve"> </v>
      </c>
      <c r="AC78" s="392">
        <f>IFERROR(SMALL(Devices[Row Sel D], Devices[[#This Row],[Row Num]]), " ")</f>
        <v>93</v>
      </c>
      <c r="AD78" s="392" t="str">
        <f>IFERROR(SMALL(Devices[Row Sel SE], Devices[[#This Row],[Row Num]]), " ")</f>
        <v xml:space="preserve"> </v>
      </c>
      <c r="AE78" s="392" t="str">
        <f>IFERROR(SMALL(Devices[Row Sel N], Devices[[#This Row],[Row Num]]), " ")</f>
        <v xml:space="preserve"> </v>
      </c>
      <c r="AF78" s="392">
        <f>IFERROR(INDEX(Devices[Part], Devices[[#This Row],[Sel D]], 1), "")</f>
        <v>0</v>
      </c>
      <c r="AG78" s="392" t="str">
        <f>IFERROR(INDEX(Devices[Part], Devices[[#This Row],[Sel SE]], 1), "")</f>
        <v/>
      </c>
      <c r="AH78" s="392" t="str">
        <f>IFERROR(INDEX(Devices[Part], Devices[[#This Row],[Sel N]], 1), "")</f>
        <v/>
      </c>
      <c r="AJ78" s="378"/>
    </row>
    <row r="79" spans="1:36" ht="15" customHeight="1">
      <c r="A79" s="379" t="s">
        <v>191</v>
      </c>
      <c r="B79" s="380" t="s">
        <v>47</v>
      </c>
      <c r="C79" s="381" t="s">
        <v>46</v>
      </c>
      <c r="D79" s="382">
        <v>5.0000000000000001E-4</v>
      </c>
      <c r="E79" s="382">
        <v>2E-3</v>
      </c>
      <c r="F79" s="383">
        <v>10</v>
      </c>
      <c r="G79" s="383">
        <v>35</v>
      </c>
      <c r="H79" s="479">
        <v>0.4</v>
      </c>
      <c r="I79" s="479">
        <v>1.5</v>
      </c>
      <c r="J79" s="384">
        <v>3</v>
      </c>
      <c r="K79" s="384">
        <v>10</v>
      </c>
      <c r="L79" s="449">
        <v>3.0000000000000001E-5</v>
      </c>
      <c r="M79" s="382">
        <v>1E-4</v>
      </c>
      <c r="N79" s="383">
        <v>1</v>
      </c>
      <c r="O79" s="383">
        <v>3</v>
      </c>
      <c r="P79" s="385">
        <v>5000</v>
      </c>
      <c r="Q79" s="386" t="s">
        <v>273</v>
      </c>
      <c r="R79" s="418">
        <v>-40</v>
      </c>
      <c r="S79" s="418">
        <v>125</v>
      </c>
      <c r="T79" s="394"/>
      <c r="U79" s="394">
        <v>1250000</v>
      </c>
      <c r="V79" s="419">
        <v>2500000</v>
      </c>
      <c r="W79" s="390">
        <v>0.4</v>
      </c>
      <c r="X79" s="519">
        <v>0</v>
      </c>
      <c r="Y79" s="395">
        <f t="shared" si="2"/>
        <v>73</v>
      </c>
      <c r="Z79" s="395" t="str">
        <f>IF(OR($AL$107=Devices[[#This Row],[Input Type]], 0=Devices[[#This Row],[Input Type]]),Devices[[#This Row],[Row Num]], " ")</f>
        <v xml:space="preserve"> </v>
      </c>
      <c r="AA79" s="395">
        <f>IF(OR($AL$108=Devices[[#This Row],[Input Type]], 0=Devices[[#This Row],[Input Type]]),Devices[[#This Row],[Row Num]], " ")</f>
        <v>73</v>
      </c>
      <c r="AB79" s="395" t="str">
        <f>IF(0=Devices[[#This Row],[Input Type]], Devices[[#This Row],[Row Num]], " ")</f>
        <v xml:space="preserve"> </v>
      </c>
      <c r="AC79" s="395">
        <f>IFERROR(SMALL(Devices[Row Sel D], Devices[[#This Row],[Row Num]]), " ")</f>
        <v>94</v>
      </c>
      <c r="AD79" s="395" t="str">
        <f>IFERROR(SMALL(Devices[Row Sel SE], Devices[[#This Row],[Row Num]]), " ")</f>
        <v xml:space="preserve"> </v>
      </c>
      <c r="AE79" s="395" t="str">
        <f>IFERROR(SMALL(Devices[Row Sel N], Devices[[#This Row],[Row Num]]), " ")</f>
        <v xml:space="preserve"> </v>
      </c>
      <c r="AF79" s="395">
        <f>IFERROR(INDEX(Devices[Part], Devices[[#This Row],[Sel D]], 1), "")</f>
        <v>0</v>
      </c>
      <c r="AG79" s="395" t="str">
        <f>IFERROR(INDEX(Devices[Part], Devices[[#This Row],[Sel SE]], 1), "")</f>
        <v/>
      </c>
      <c r="AH79" s="395" t="str">
        <f>IFERROR(INDEX(Devices[Part], Devices[[#This Row],[Sel N]], 1), "")</f>
        <v/>
      </c>
    </row>
    <row r="80" spans="1:36" ht="15" customHeight="1">
      <c r="A80" s="487" t="s">
        <v>189</v>
      </c>
      <c r="B80" s="380" t="s">
        <v>46</v>
      </c>
      <c r="C80" s="381" t="s">
        <v>46</v>
      </c>
      <c r="D80" s="399">
        <v>4.0000000000000002E-4</v>
      </c>
      <c r="E80" s="399">
        <v>3.0000000000000001E-3</v>
      </c>
      <c r="F80" s="406">
        <v>5</v>
      </c>
      <c r="G80" s="406">
        <v>30</v>
      </c>
      <c r="H80" s="482">
        <v>0.01</v>
      </c>
      <c r="I80" s="482">
        <v>0.2</v>
      </c>
      <c r="J80" s="407">
        <v>0.1</v>
      </c>
      <c r="K80" s="407">
        <v>0.9</v>
      </c>
      <c r="L80" s="399">
        <v>1E-4</v>
      </c>
      <c r="M80" s="399">
        <v>2.9999999999999997E-4</v>
      </c>
      <c r="N80" s="406">
        <v>0.4</v>
      </c>
      <c r="O80" s="406">
        <v>1.2</v>
      </c>
      <c r="P80" s="393">
        <v>250</v>
      </c>
      <c r="Q80" s="386" t="s">
        <v>264</v>
      </c>
      <c r="R80" s="516">
        <v>-40</v>
      </c>
      <c r="S80" s="516">
        <v>125</v>
      </c>
      <c r="T80" s="388">
        <v>12500</v>
      </c>
      <c r="U80" s="388">
        <v>19000</v>
      </c>
      <c r="V80" s="388">
        <v>22222</v>
      </c>
      <c r="W80" s="390">
        <v>8.1999999999999993</v>
      </c>
      <c r="X80" s="410">
        <v>30</v>
      </c>
      <c r="Y80" s="395">
        <f t="shared" si="2"/>
        <v>74</v>
      </c>
      <c r="Z80" s="395">
        <f>IF(OR($AL$107=Devices[[#This Row],[Input Type]], 0=Devices[[#This Row],[Input Type]]),Devices[[#This Row],[Row Num]], " ")</f>
        <v>74</v>
      </c>
      <c r="AA80" s="395" t="str">
        <f>IF(OR($AL$108=Devices[[#This Row],[Input Type]], 0=Devices[[#This Row],[Input Type]]),Devices[[#This Row],[Row Num]], " ")</f>
        <v xml:space="preserve"> </v>
      </c>
      <c r="AB80" s="395" t="str">
        <f>IF(0=Devices[[#This Row],[Input Type]], Devices[[#This Row],[Row Num]], " ")</f>
        <v xml:space="preserve"> </v>
      </c>
      <c r="AC80" s="395">
        <f>IFERROR(SMALL(Devices[Row Sel D], Devices[[#This Row],[Row Num]]), " ")</f>
        <v>95</v>
      </c>
      <c r="AD80" s="395" t="str">
        <f>IFERROR(SMALL(Devices[Row Sel SE], Devices[[#This Row],[Row Num]]), " ")</f>
        <v xml:space="preserve"> </v>
      </c>
      <c r="AE80" s="395" t="str">
        <f>IFERROR(SMALL(Devices[Row Sel N], Devices[[#This Row],[Row Num]]), " ")</f>
        <v xml:space="preserve"> </v>
      </c>
      <c r="AF80" s="395">
        <f>IFERROR(INDEX(Devices[Part], Devices[[#This Row],[Sel D]], 1), "")</f>
        <v>0</v>
      </c>
      <c r="AG80" s="395" t="str">
        <f>IFERROR(INDEX(Devices[Part], Devices[[#This Row],[Sel SE]], 1), "")</f>
        <v/>
      </c>
      <c r="AH80" s="395" t="str">
        <f>IFERROR(INDEX(Devices[Part], Devices[[#This Row],[Sel N]], 1), "")</f>
        <v/>
      </c>
    </row>
    <row r="81" spans="1:36" ht="15" customHeight="1">
      <c r="A81" s="396" t="s">
        <v>188</v>
      </c>
      <c r="B81" s="380" t="s">
        <v>47</v>
      </c>
      <c r="C81" s="397" t="s">
        <v>46</v>
      </c>
      <c r="D81" s="493">
        <v>5.0000000000000001E-4</v>
      </c>
      <c r="E81" s="493">
        <v>2E-3</v>
      </c>
      <c r="F81" s="496">
        <v>5</v>
      </c>
      <c r="G81" s="496">
        <v>40</v>
      </c>
      <c r="H81" s="501">
        <v>0.4</v>
      </c>
      <c r="I81" s="501">
        <v>1.5</v>
      </c>
      <c r="J81" s="505">
        <v>3</v>
      </c>
      <c r="K81" s="505">
        <v>10</v>
      </c>
      <c r="L81" s="493">
        <v>1E-4</v>
      </c>
      <c r="M81" s="493">
        <v>4.0000000000000002E-4</v>
      </c>
      <c r="N81" s="496">
        <v>1</v>
      </c>
      <c r="O81" s="496">
        <v>3</v>
      </c>
      <c r="P81" s="513">
        <v>2000</v>
      </c>
      <c r="Q81" s="386" t="s">
        <v>273</v>
      </c>
      <c r="R81" s="387">
        <v>-40</v>
      </c>
      <c r="S81" s="387">
        <v>125</v>
      </c>
      <c r="T81" s="394"/>
      <c r="U81" s="394">
        <v>1000000000</v>
      </c>
      <c r="V81" s="419">
        <v>1000000000</v>
      </c>
      <c r="W81" s="390">
        <v>1</v>
      </c>
      <c r="X81" s="522">
        <v>3.5000000000000001E-3</v>
      </c>
      <c r="Y81" s="395">
        <f t="shared" si="2"/>
        <v>75</v>
      </c>
      <c r="Z81" s="395" t="str">
        <f>IF(OR($AL$107=Devices[[#This Row],[Input Type]], 0=Devices[[#This Row],[Input Type]]),Devices[[#This Row],[Row Num]], " ")</f>
        <v xml:space="preserve"> </v>
      </c>
      <c r="AA81" s="395">
        <f>IF(OR($AL$108=Devices[[#This Row],[Input Type]], 0=Devices[[#This Row],[Input Type]]),Devices[[#This Row],[Row Num]], " ")</f>
        <v>75</v>
      </c>
      <c r="AB81" s="395" t="str">
        <f>IF(0=Devices[[#This Row],[Input Type]], Devices[[#This Row],[Row Num]], " ")</f>
        <v xml:space="preserve"> </v>
      </c>
      <c r="AC81" s="395">
        <f>IFERROR(SMALL(Devices[Row Sel D], Devices[[#This Row],[Row Num]]), " ")</f>
        <v>96</v>
      </c>
      <c r="AD81" s="395" t="str">
        <f>IFERROR(SMALL(Devices[Row Sel SE], Devices[[#This Row],[Row Num]]), " ")</f>
        <v xml:space="preserve"> </v>
      </c>
      <c r="AE81" s="395" t="str">
        <f>IFERROR(SMALL(Devices[Row Sel N], Devices[[#This Row],[Row Num]]), " ")</f>
        <v xml:space="preserve"> </v>
      </c>
      <c r="AF81" s="395">
        <f>IFERROR(INDEX(Devices[Part], Devices[[#This Row],[Sel D]], 1), "")</f>
        <v>0</v>
      </c>
      <c r="AG81" s="395" t="str">
        <f>IFERROR(INDEX(Devices[Part], Devices[[#This Row],[Sel SE]], 1), "")</f>
        <v/>
      </c>
      <c r="AH81" s="395" t="str">
        <f>IFERROR(INDEX(Devices[Part], Devices[[#This Row],[Sel N]], 1), "")</f>
        <v/>
      </c>
    </row>
    <row r="82" spans="1:36" ht="15" customHeight="1">
      <c r="A82" s="488" t="s">
        <v>41</v>
      </c>
      <c r="B82" s="380" t="s">
        <v>46</v>
      </c>
      <c r="C82" s="397" t="s">
        <v>46</v>
      </c>
      <c r="D82" s="493">
        <v>1E-3</v>
      </c>
      <c r="E82" s="493">
        <v>4.0000000000000001E-3</v>
      </c>
      <c r="F82" s="496">
        <v>20</v>
      </c>
      <c r="G82" s="496">
        <v>60</v>
      </c>
      <c r="H82" s="501">
        <v>0.03</v>
      </c>
      <c r="I82" s="501">
        <v>0.2</v>
      </c>
      <c r="J82" s="505">
        <v>1.5</v>
      </c>
      <c r="K82" s="505">
        <v>5</v>
      </c>
      <c r="L82" s="493">
        <v>2.9999999999999997E-4</v>
      </c>
      <c r="M82" s="509">
        <v>7.5000000000000002E-4</v>
      </c>
      <c r="N82" s="496">
        <v>1</v>
      </c>
      <c r="O82" s="496">
        <v>3</v>
      </c>
      <c r="P82" s="513">
        <v>250</v>
      </c>
      <c r="Q82" s="386" t="s">
        <v>264</v>
      </c>
      <c r="R82" s="387">
        <v>-40</v>
      </c>
      <c r="S82" s="387">
        <v>125</v>
      </c>
      <c r="T82" s="394">
        <v>12500</v>
      </c>
      <c r="U82" s="394">
        <v>19000</v>
      </c>
      <c r="V82" s="419">
        <v>22222</v>
      </c>
      <c r="W82" s="390">
        <v>8.1999999999999993</v>
      </c>
      <c r="X82" s="524">
        <v>30</v>
      </c>
      <c r="Y82" s="376">
        <f t="shared" si="2"/>
        <v>76</v>
      </c>
      <c r="Z82" s="376">
        <f>IF(OR($AL$107=Devices[[#This Row],[Input Type]], 0=Devices[[#This Row],[Input Type]]),Devices[[#This Row],[Row Num]], " ")</f>
        <v>76</v>
      </c>
      <c r="AA82" s="376" t="str">
        <f>IF(OR($AL$108=Devices[[#This Row],[Input Type]], 0=Devices[[#This Row],[Input Type]]),Devices[[#This Row],[Row Num]], " ")</f>
        <v xml:space="preserve"> </v>
      </c>
      <c r="AB82" s="376" t="str">
        <f>IF(0=Devices[[#This Row],[Input Type]], Devices[[#This Row],[Row Num]], " ")</f>
        <v xml:space="preserve"> </v>
      </c>
      <c r="AC82" s="377">
        <f>IFERROR(SMALL(Devices[Row Sel D], Devices[[#This Row],[Row Num]]), " ")</f>
        <v>97</v>
      </c>
      <c r="AD82" s="377" t="str">
        <f>IFERROR(SMALL(Devices[Row Sel SE], Devices[[#This Row],[Row Num]]), " ")</f>
        <v xml:space="preserve"> </v>
      </c>
      <c r="AE82" s="377" t="str">
        <f>IFERROR(SMALL(Devices[Row Sel N], Devices[[#This Row],[Row Num]]), " ")</f>
        <v xml:space="preserve"> </v>
      </c>
      <c r="AF82" s="377">
        <f>IFERROR(INDEX(Devices[Part], Devices[[#This Row],[Sel D]], 1), "")</f>
        <v>0</v>
      </c>
      <c r="AG82" s="377" t="str">
        <f>IFERROR(INDEX(Devices[Part], Devices[[#This Row],[Sel SE]], 1), "")</f>
        <v/>
      </c>
      <c r="AH82" s="377" t="str">
        <f>IFERROR(INDEX(Devices[Part], Devices[[#This Row],[Sel N]], 1), "")</f>
        <v/>
      </c>
      <c r="AJ82" s="378"/>
    </row>
    <row r="83" spans="1:36" ht="15" customHeight="1">
      <c r="A83" s="398" t="s">
        <v>178</v>
      </c>
      <c r="B83" s="380" t="s">
        <v>46</v>
      </c>
      <c r="C83" s="397" t="s">
        <v>46</v>
      </c>
      <c r="D83" s="382">
        <v>4.0000000000000002E-4</v>
      </c>
      <c r="E83" s="416">
        <v>2E-3</v>
      </c>
      <c r="F83" s="497">
        <v>6</v>
      </c>
      <c r="G83" s="497">
        <v>40</v>
      </c>
      <c r="H83" s="502">
        <v>0.02</v>
      </c>
      <c r="I83" s="502">
        <v>0.15</v>
      </c>
      <c r="J83" s="506">
        <v>0.15</v>
      </c>
      <c r="K83" s="506">
        <v>1</v>
      </c>
      <c r="L83" s="508">
        <v>2.0000000000000002E-5</v>
      </c>
      <c r="M83" s="416">
        <v>4.0000000000000002E-4</v>
      </c>
      <c r="N83" s="497">
        <v>0.9</v>
      </c>
      <c r="O83" s="497">
        <v>2.7</v>
      </c>
      <c r="P83" s="514">
        <v>250</v>
      </c>
      <c r="Q83" s="386" t="s">
        <v>264</v>
      </c>
      <c r="R83" s="387">
        <v>-40</v>
      </c>
      <c r="S83" s="387">
        <v>125</v>
      </c>
      <c r="T83" s="394">
        <v>12500</v>
      </c>
      <c r="U83" s="394">
        <v>19000</v>
      </c>
      <c r="V83" s="419">
        <v>22222</v>
      </c>
      <c r="W83" s="390">
        <v>8.1999999999999993</v>
      </c>
      <c r="X83" s="417">
        <v>30</v>
      </c>
      <c r="Y83" s="392">
        <f t="shared" si="2"/>
        <v>77</v>
      </c>
      <c r="Z83" s="392">
        <f>IF(OR($AL$107=Devices[[#This Row],[Input Type]], 0=Devices[[#This Row],[Input Type]]),Devices[[#This Row],[Row Num]], " ")</f>
        <v>77</v>
      </c>
      <c r="AA83" s="392" t="str">
        <f>IF(OR($AL$108=Devices[[#This Row],[Input Type]], 0=Devices[[#This Row],[Input Type]]),Devices[[#This Row],[Row Num]], " ")</f>
        <v xml:space="preserve"> </v>
      </c>
      <c r="AB83" s="392" t="str">
        <f>IF(0=Devices[[#This Row],[Input Type]], Devices[[#This Row],[Row Num]], " ")</f>
        <v xml:space="preserve"> </v>
      </c>
      <c r="AC83" s="392">
        <f>IFERROR(SMALL(Devices[Row Sel D], Devices[[#This Row],[Row Num]]), " ")</f>
        <v>98</v>
      </c>
      <c r="AD83" s="392" t="str">
        <f>IFERROR(SMALL(Devices[Row Sel SE], Devices[[#This Row],[Row Num]]), " ")</f>
        <v xml:space="preserve"> </v>
      </c>
      <c r="AE83" s="392" t="str">
        <f>IFERROR(SMALL(Devices[Row Sel N], Devices[[#This Row],[Row Num]]), " ")</f>
        <v xml:space="preserve"> </v>
      </c>
      <c r="AF83" s="392">
        <f>IFERROR(INDEX(Devices[Part], Devices[[#This Row],[Sel D]], 1), "")</f>
        <v>0</v>
      </c>
      <c r="AG83" s="392" t="str">
        <f>IFERROR(INDEX(Devices[Part], Devices[[#This Row],[Sel SE]], 1), "")</f>
        <v/>
      </c>
      <c r="AH83" s="392" t="str">
        <f>IFERROR(INDEX(Devices[Part], Devices[[#This Row],[Sel N]], 1), "")</f>
        <v/>
      </c>
    </row>
    <row r="84" spans="1:36" ht="15" customHeight="1">
      <c r="A84" s="405" t="s">
        <v>180</v>
      </c>
      <c r="B84" s="380" t="s">
        <v>46</v>
      </c>
      <c r="C84" s="397" t="s">
        <v>46</v>
      </c>
      <c r="D84" s="399">
        <v>4.0000000000000002E-4</v>
      </c>
      <c r="E84" s="399">
        <v>2E-3</v>
      </c>
      <c r="F84" s="406">
        <v>10</v>
      </c>
      <c r="G84" s="406">
        <v>35</v>
      </c>
      <c r="H84" s="482">
        <v>1.4999999999999999E-2</v>
      </c>
      <c r="I84" s="482">
        <v>0.05</v>
      </c>
      <c r="J84" s="407">
        <v>0.1</v>
      </c>
      <c r="K84" s="407">
        <v>0.5</v>
      </c>
      <c r="L84" s="446">
        <v>2.0000000000000002E-5</v>
      </c>
      <c r="M84" s="399">
        <v>2.9999999999999997E-4</v>
      </c>
      <c r="N84" s="406">
        <v>0.4</v>
      </c>
      <c r="O84" s="406">
        <v>1.2</v>
      </c>
      <c r="P84" s="393">
        <v>50</v>
      </c>
      <c r="Q84" s="386" t="s">
        <v>264</v>
      </c>
      <c r="R84" s="387">
        <v>-40</v>
      </c>
      <c r="S84" s="387">
        <v>125</v>
      </c>
      <c r="T84" s="388">
        <v>2500</v>
      </c>
      <c r="U84" s="388">
        <v>4750</v>
      </c>
      <c r="V84" s="389">
        <v>4900</v>
      </c>
      <c r="W84" s="390">
        <v>41</v>
      </c>
      <c r="X84" s="404">
        <v>36</v>
      </c>
      <c r="Y84" s="377">
        <f t="shared" si="2"/>
        <v>78</v>
      </c>
      <c r="Z84" s="377">
        <f>IF(OR($AL$107=Devices[[#This Row],[Input Type]], 0=Devices[[#This Row],[Input Type]]),Devices[[#This Row],[Row Num]], " ")</f>
        <v>78</v>
      </c>
      <c r="AA84" s="377" t="str">
        <f>IF(OR($AL$108=Devices[[#This Row],[Input Type]], 0=Devices[[#This Row],[Input Type]]),Devices[[#This Row],[Row Num]], " ")</f>
        <v xml:space="preserve"> </v>
      </c>
      <c r="AB84" s="377" t="str">
        <f>IF(0=Devices[[#This Row],[Input Type]], Devices[[#This Row],[Row Num]], " ")</f>
        <v xml:space="preserve"> </v>
      </c>
      <c r="AC84" s="377">
        <f>IFERROR(SMALL(Devices[Row Sel D], Devices[[#This Row],[Row Num]]), " ")</f>
        <v>99</v>
      </c>
      <c r="AD84" s="377" t="str">
        <f>IFERROR(SMALL(Devices[Row Sel SE], Devices[[#This Row],[Row Num]]), " ")</f>
        <v xml:space="preserve"> </v>
      </c>
      <c r="AE84" s="377" t="str">
        <f>IFERROR(SMALL(Devices[Row Sel N], Devices[[#This Row],[Row Num]]), " ")</f>
        <v xml:space="preserve"> </v>
      </c>
      <c r="AF84" s="377">
        <f>IFERROR(INDEX(Devices[Part], Devices[[#This Row],[Sel D]], 1), "")</f>
        <v>0</v>
      </c>
      <c r="AG84" s="377" t="str">
        <f>IFERROR(INDEX(Devices[Part], Devices[[#This Row],[Sel SE]], 1), "")</f>
        <v/>
      </c>
      <c r="AH84" s="377" t="str">
        <f>IFERROR(INDEX(Devices[Part], Devices[[#This Row],[Sel N]], 1), "")</f>
        <v/>
      </c>
    </row>
    <row r="85" spans="1:36" ht="15" customHeight="1">
      <c r="A85" s="396" t="s">
        <v>186</v>
      </c>
      <c r="B85" s="380" t="s">
        <v>46</v>
      </c>
      <c r="C85" s="381" t="s">
        <v>46</v>
      </c>
      <c r="D85" s="400">
        <v>4.0000000000000002E-4</v>
      </c>
      <c r="E85" s="400">
        <v>2E-3</v>
      </c>
      <c r="F85" s="401">
        <v>10</v>
      </c>
      <c r="G85" s="401">
        <v>35</v>
      </c>
      <c r="H85" s="481">
        <v>1.4999999999999999E-2</v>
      </c>
      <c r="I85" s="481">
        <v>0.05</v>
      </c>
      <c r="J85" s="402">
        <v>0.1</v>
      </c>
      <c r="K85" s="402">
        <v>0.5</v>
      </c>
      <c r="L85" s="507">
        <v>2.0000000000000002E-5</v>
      </c>
      <c r="M85" s="400">
        <v>2.9999999999999997E-4</v>
      </c>
      <c r="N85" s="401">
        <v>0.4</v>
      </c>
      <c r="O85" s="401">
        <v>1.2</v>
      </c>
      <c r="P85" s="403">
        <v>50</v>
      </c>
      <c r="Q85" s="386" t="s">
        <v>264</v>
      </c>
      <c r="R85" s="387">
        <v>-40</v>
      </c>
      <c r="S85" s="387">
        <v>125</v>
      </c>
      <c r="T85" s="388">
        <v>2500</v>
      </c>
      <c r="U85" s="388">
        <v>4750</v>
      </c>
      <c r="V85" s="389">
        <v>4900</v>
      </c>
      <c r="W85" s="390">
        <v>41</v>
      </c>
      <c r="X85" s="391">
        <v>36</v>
      </c>
      <c r="Y85" s="392">
        <f t="shared" si="2"/>
        <v>79</v>
      </c>
      <c r="Z85" s="392">
        <f>IF(OR($AL$107=Devices[[#This Row],[Input Type]], 0=Devices[[#This Row],[Input Type]]),Devices[[#This Row],[Row Num]], " ")</f>
        <v>79</v>
      </c>
      <c r="AA85" s="392" t="str">
        <f>IF(OR($AL$108=Devices[[#This Row],[Input Type]], 0=Devices[[#This Row],[Input Type]]),Devices[[#This Row],[Row Num]], " ")</f>
        <v xml:space="preserve"> </v>
      </c>
      <c r="AB85" s="392" t="str">
        <f>IF(0=Devices[[#This Row],[Input Type]], Devices[[#This Row],[Row Num]], " ")</f>
        <v xml:space="preserve"> </v>
      </c>
      <c r="AC85" s="392" t="str">
        <f>IFERROR(SMALL(Devices[Row Sel D], Devices[[#This Row],[Row Num]]), " ")</f>
        <v xml:space="preserve"> </v>
      </c>
      <c r="AD85" s="392" t="str">
        <f>IFERROR(SMALL(Devices[Row Sel SE], Devices[[#This Row],[Row Num]]), " ")</f>
        <v xml:space="preserve"> </v>
      </c>
      <c r="AE85" s="392" t="str">
        <f>IFERROR(SMALL(Devices[Row Sel N], Devices[[#This Row],[Row Num]]), " ")</f>
        <v xml:space="preserve"> </v>
      </c>
      <c r="AF85" s="392" t="str">
        <f>IFERROR(INDEX(Devices[Part], Devices[[#This Row],[Sel D]], 1), "")</f>
        <v/>
      </c>
      <c r="AG85" s="392" t="str">
        <f>IFERROR(INDEX(Devices[Part], Devices[[#This Row],[Sel SE]], 1), "")</f>
        <v/>
      </c>
      <c r="AH85" s="392" t="str">
        <f>IFERROR(INDEX(Devices[Part], Devices[[#This Row],[Sel N]], 1), "")</f>
        <v/>
      </c>
    </row>
    <row r="86" spans="1:36" ht="15" customHeight="1">
      <c r="A86" s="398" t="s">
        <v>185</v>
      </c>
      <c r="B86" s="380" t="s">
        <v>46</v>
      </c>
      <c r="C86" s="381" t="s">
        <v>46</v>
      </c>
      <c r="D86" s="399">
        <v>8.0000000000000004E-4</v>
      </c>
      <c r="E86" s="400">
        <v>2E-3</v>
      </c>
      <c r="F86" s="401">
        <v>7</v>
      </c>
      <c r="G86" s="401">
        <v>45</v>
      </c>
      <c r="H86" s="481">
        <v>0.05</v>
      </c>
      <c r="I86" s="481">
        <v>0.3</v>
      </c>
      <c r="J86" s="402">
        <v>1</v>
      </c>
      <c r="K86" s="402">
        <v>4</v>
      </c>
      <c r="L86" s="400">
        <v>1E-4</v>
      </c>
      <c r="M86" s="400">
        <v>2.0000000000000001E-4</v>
      </c>
      <c r="N86" s="401">
        <v>0.4</v>
      </c>
      <c r="O86" s="401">
        <v>1.2</v>
      </c>
      <c r="P86" s="403">
        <v>1000</v>
      </c>
      <c r="Q86" s="386" t="s">
        <v>275</v>
      </c>
      <c r="R86" s="387">
        <v>-40</v>
      </c>
      <c r="S86" s="387">
        <v>125</v>
      </c>
      <c r="T86" s="388">
        <v>1000000000</v>
      </c>
      <c r="U86" s="388">
        <v>800000000</v>
      </c>
      <c r="V86" s="389">
        <v>1200000000</v>
      </c>
      <c r="W86" s="390">
        <v>2</v>
      </c>
      <c r="X86" s="415">
        <v>2.5000000000000001E-3</v>
      </c>
      <c r="Y86" s="392">
        <f t="shared" si="2"/>
        <v>80</v>
      </c>
      <c r="Z86" s="392">
        <f>IF(OR($AL$107=Devices[[#This Row],[Input Type]], 0=Devices[[#This Row],[Input Type]]),Devices[[#This Row],[Row Num]], " ")</f>
        <v>80</v>
      </c>
      <c r="AA86" s="392" t="str">
        <f>IF(OR($AL$108=Devices[[#This Row],[Input Type]], 0=Devices[[#This Row],[Input Type]]),Devices[[#This Row],[Row Num]], " ")</f>
        <v xml:space="preserve"> </v>
      </c>
      <c r="AB86" s="392" t="str">
        <f>IF(0=Devices[[#This Row],[Input Type]], Devices[[#This Row],[Row Num]], " ")</f>
        <v xml:space="preserve"> </v>
      </c>
      <c r="AC86" s="392" t="str">
        <f>IFERROR(SMALL(Devices[Row Sel D], Devices[[#This Row],[Row Num]]), " ")</f>
        <v xml:space="preserve"> </v>
      </c>
      <c r="AD86" s="392" t="str">
        <f>IFERROR(SMALL(Devices[Row Sel SE], Devices[[#This Row],[Row Num]]), " ")</f>
        <v xml:space="preserve"> </v>
      </c>
      <c r="AE86" s="392" t="str">
        <f>IFERROR(SMALL(Devices[Row Sel N], Devices[[#This Row],[Row Num]]), " ")</f>
        <v xml:space="preserve"> </v>
      </c>
      <c r="AF86" s="392" t="str">
        <f>IFERROR(INDEX(Devices[Part], Devices[[#This Row],[Sel D]], 1), "")</f>
        <v/>
      </c>
      <c r="AG86" s="392" t="str">
        <f>IFERROR(INDEX(Devices[Part], Devices[[#This Row],[Sel SE]], 1), "")</f>
        <v/>
      </c>
      <c r="AH86" s="392" t="str">
        <f>IFERROR(INDEX(Devices[Part], Devices[[#This Row],[Sel N]], 1), "")</f>
        <v/>
      </c>
    </row>
    <row r="87" spans="1:36" ht="15" customHeight="1">
      <c r="A87" s="396" t="s">
        <v>179</v>
      </c>
      <c r="B87" s="380" t="s">
        <v>46</v>
      </c>
      <c r="C87" s="381" t="s">
        <v>46</v>
      </c>
      <c r="D87" s="400">
        <v>8.0000000000000004E-4</v>
      </c>
      <c r="E87" s="400">
        <v>2E-3</v>
      </c>
      <c r="F87" s="401">
        <v>7</v>
      </c>
      <c r="G87" s="401">
        <v>45</v>
      </c>
      <c r="H87" s="481">
        <v>0.05</v>
      </c>
      <c r="I87" s="481">
        <v>0.3</v>
      </c>
      <c r="J87" s="402">
        <v>1</v>
      </c>
      <c r="K87" s="402">
        <v>4</v>
      </c>
      <c r="L87" s="400">
        <v>1E-4</v>
      </c>
      <c r="M87" s="400">
        <v>2.0000000000000001E-4</v>
      </c>
      <c r="N87" s="401">
        <v>0.4</v>
      </c>
      <c r="O87" s="401">
        <v>1.2</v>
      </c>
      <c r="P87" s="403">
        <v>1000</v>
      </c>
      <c r="Q87" s="386" t="s">
        <v>275</v>
      </c>
      <c r="R87" s="387">
        <v>-40</v>
      </c>
      <c r="S87" s="387">
        <v>125</v>
      </c>
      <c r="T87" s="388">
        <v>1000000000</v>
      </c>
      <c r="U87" s="388">
        <v>800000000</v>
      </c>
      <c r="V87" s="389">
        <v>1200000000</v>
      </c>
      <c r="W87" s="390">
        <v>2</v>
      </c>
      <c r="X87" s="523">
        <v>2.5000000000000001E-3</v>
      </c>
      <c r="Y87" s="377">
        <f t="shared" si="2"/>
        <v>81</v>
      </c>
      <c r="Z87" s="377">
        <f>IF(OR($AL$107=Devices[[#This Row],[Input Type]], 0=Devices[[#This Row],[Input Type]]),Devices[[#This Row],[Row Num]], " ")</f>
        <v>81</v>
      </c>
      <c r="AA87" s="377" t="str">
        <f>IF(OR($AL$108=Devices[[#This Row],[Input Type]], 0=Devices[[#This Row],[Input Type]]),Devices[[#This Row],[Row Num]], " ")</f>
        <v xml:space="preserve"> </v>
      </c>
      <c r="AB87" s="377" t="str">
        <f>IF(0=Devices[[#This Row],[Input Type]], Devices[[#This Row],[Row Num]], " ")</f>
        <v xml:space="preserve"> </v>
      </c>
      <c r="AC87" s="377" t="str">
        <f>IFERROR(SMALL(Devices[Row Sel D], Devices[[#This Row],[Row Num]]), " ")</f>
        <v xml:space="preserve"> </v>
      </c>
      <c r="AD87" s="377" t="str">
        <f>IFERROR(SMALL(Devices[Row Sel SE], Devices[[#This Row],[Row Num]]), " ")</f>
        <v xml:space="preserve"> </v>
      </c>
      <c r="AE87" s="377" t="str">
        <f>IFERROR(SMALL(Devices[Row Sel N], Devices[[#This Row],[Row Num]]), " ")</f>
        <v xml:space="preserve"> </v>
      </c>
      <c r="AF87" s="377" t="str">
        <f>IFERROR(INDEX(Devices[Part], Devices[[#This Row],[Sel D]], 1), "")</f>
        <v/>
      </c>
      <c r="AG87" s="377" t="str">
        <f>IFERROR(INDEX(Devices[Part], Devices[[#This Row],[Sel SE]], 1), "")</f>
        <v/>
      </c>
      <c r="AH87" s="377" t="str">
        <f>IFERROR(INDEX(Devices[Part], Devices[[#This Row],[Sel N]], 1), "")</f>
        <v/>
      </c>
    </row>
    <row r="88" spans="1:36" ht="15" customHeight="1">
      <c r="A88" s="411" t="s">
        <v>70</v>
      </c>
      <c r="B88" s="420" t="s">
        <v>47</v>
      </c>
      <c r="C88" s="381" t="s">
        <v>46</v>
      </c>
      <c r="D88" s="416">
        <v>4.0000000000000001E-3</v>
      </c>
      <c r="E88" s="412">
        <v>0.01</v>
      </c>
      <c r="F88" s="383">
        <v>20</v>
      </c>
      <c r="G88" s="383">
        <v>60</v>
      </c>
      <c r="H88" s="484">
        <v>1</v>
      </c>
      <c r="I88" s="484">
        <v>50</v>
      </c>
      <c r="J88" s="413">
        <v>12</v>
      </c>
      <c r="K88" s="413">
        <v>60</v>
      </c>
      <c r="L88" s="421">
        <v>3.0000000000000001E-5</v>
      </c>
      <c r="M88" s="412">
        <v>2.0000000000000001E-4</v>
      </c>
      <c r="N88" s="422">
        <v>0.1</v>
      </c>
      <c r="O88" s="422">
        <v>0.3</v>
      </c>
      <c r="P88" s="414">
        <v>12000</v>
      </c>
      <c r="Q88" s="386" t="s">
        <v>276</v>
      </c>
      <c r="R88" s="387">
        <v>-55</v>
      </c>
      <c r="S88" s="387">
        <v>125</v>
      </c>
      <c r="T88" s="394"/>
      <c r="U88" s="394">
        <v>1250000</v>
      </c>
      <c r="V88" s="419">
        <v>1250000</v>
      </c>
      <c r="W88" s="390">
        <v>0.33</v>
      </c>
      <c r="X88" s="423">
        <v>1.4999999999999999E-2</v>
      </c>
      <c r="Y88" s="392">
        <f t="shared" si="2"/>
        <v>82</v>
      </c>
      <c r="Z88" s="392" t="str">
        <f>IF(OR($AL$107=Devices[[#This Row],[Input Type]], 0=Devices[[#This Row],[Input Type]]),Devices[[#This Row],[Row Num]], " ")</f>
        <v xml:space="preserve"> </v>
      </c>
      <c r="AA88" s="392">
        <f>IF(OR($AL$108=Devices[[#This Row],[Input Type]], 0=Devices[[#This Row],[Input Type]]),Devices[[#This Row],[Row Num]], " ")</f>
        <v>82</v>
      </c>
      <c r="AB88" s="392" t="str">
        <f>IF(0=Devices[[#This Row],[Input Type]], Devices[[#This Row],[Row Num]], " ")</f>
        <v xml:space="preserve"> </v>
      </c>
      <c r="AC88" s="392" t="str">
        <f>IFERROR(SMALL(Devices[Row Sel D], Devices[[#This Row],[Row Num]]), " ")</f>
        <v xml:space="preserve"> </v>
      </c>
      <c r="AD88" s="392" t="str">
        <f>IFERROR(SMALL(Devices[Row Sel SE], Devices[[#This Row],[Row Num]]), " ")</f>
        <v xml:space="preserve"> </v>
      </c>
      <c r="AE88" s="392" t="str">
        <f>IFERROR(SMALL(Devices[Row Sel N], Devices[[#This Row],[Row Num]]), " ")</f>
        <v xml:space="preserve"> </v>
      </c>
      <c r="AF88" s="392" t="str">
        <f>IFERROR(INDEX(Devices[Part], Devices[[#This Row],[Sel D]], 1), "")</f>
        <v/>
      </c>
      <c r="AG88" s="392" t="str">
        <f>IFERROR(INDEX(Devices[Part], Devices[[#This Row],[Sel SE]], 1), "")</f>
        <v/>
      </c>
      <c r="AH88" s="392" t="str">
        <f>IFERROR(INDEX(Devices[Part], Devices[[#This Row],[Sel N]], 1), "")</f>
        <v/>
      </c>
      <c r="AJ88" s="378"/>
    </row>
    <row r="89" spans="1:36" ht="15" customHeight="1">
      <c r="A89" s="486" t="s">
        <v>69</v>
      </c>
      <c r="B89" s="420" t="s">
        <v>47</v>
      </c>
      <c r="C89" s="381" t="s">
        <v>46</v>
      </c>
      <c r="D89" s="400">
        <v>5.0000000000000001E-4</v>
      </c>
      <c r="E89" s="409">
        <v>3.0000000000000001E-3</v>
      </c>
      <c r="F89" s="406">
        <v>10</v>
      </c>
      <c r="G89" s="406">
        <v>35</v>
      </c>
      <c r="H89" s="483">
        <v>1</v>
      </c>
      <c r="I89" s="483">
        <v>5</v>
      </c>
      <c r="J89" s="407">
        <v>3</v>
      </c>
      <c r="K89" s="407">
        <v>15</v>
      </c>
      <c r="L89" s="449">
        <v>3.0000000000000001E-5</v>
      </c>
      <c r="M89" s="399">
        <v>1E-4</v>
      </c>
      <c r="N89" s="510">
        <v>0.1</v>
      </c>
      <c r="O89" s="510">
        <v>0.3</v>
      </c>
      <c r="P89" s="393">
        <v>12000</v>
      </c>
      <c r="Q89" s="386" t="s">
        <v>276</v>
      </c>
      <c r="R89" s="424">
        <v>-55</v>
      </c>
      <c r="S89" s="424">
        <v>125</v>
      </c>
      <c r="T89" s="388"/>
      <c r="U89" s="388">
        <v>1250000</v>
      </c>
      <c r="V89" s="389">
        <v>1250000</v>
      </c>
      <c r="W89" s="390">
        <v>0.33</v>
      </c>
      <c r="X89" s="423">
        <v>1.4999999999999999E-2</v>
      </c>
      <c r="Y89" s="377">
        <f t="shared" si="2"/>
        <v>83</v>
      </c>
      <c r="Z89" s="376" t="str">
        <f>IF(OR($AL$107=Devices[[#This Row],[Input Type]], 0=Devices[[#This Row],[Input Type]]),Devices[[#This Row],[Row Num]], " ")</f>
        <v xml:space="preserve"> </v>
      </c>
      <c r="AA89" s="376">
        <f>IF(OR($AL$108=Devices[[#This Row],[Input Type]], 0=Devices[[#This Row],[Input Type]]),Devices[[#This Row],[Row Num]], " ")</f>
        <v>83</v>
      </c>
      <c r="AB89" s="376" t="str">
        <f>IF(0=Devices[[#This Row],[Input Type]], Devices[[#This Row],[Row Num]], " ")</f>
        <v xml:space="preserve"> </v>
      </c>
      <c r="AC89" s="377" t="str">
        <f>IFERROR(SMALL(Devices[Row Sel D], Devices[[#This Row],[Row Num]]), " ")</f>
        <v xml:space="preserve"> </v>
      </c>
      <c r="AD89" s="377" t="str">
        <f>IFERROR(SMALL(Devices[Row Sel SE], Devices[[#This Row],[Row Num]]), " ")</f>
        <v xml:space="preserve"> </v>
      </c>
      <c r="AE89" s="377" t="str">
        <f>IFERROR(SMALL(Devices[Row Sel N], Devices[[#This Row],[Row Num]]), " ")</f>
        <v xml:space="preserve"> </v>
      </c>
      <c r="AF89" s="377" t="str">
        <f>IFERROR(INDEX(Devices[Part], Devices[[#This Row],[Sel D]], 1), "")</f>
        <v/>
      </c>
      <c r="AG89" s="377" t="str">
        <f>IFERROR(INDEX(Devices[Part], Devices[[#This Row],[Sel SE]], 1), "")</f>
        <v/>
      </c>
      <c r="AH89" s="377" t="str">
        <f>IFERROR(INDEX(Devices[Part], Devices[[#This Row],[Sel N]], 1), "")</f>
        <v/>
      </c>
    </row>
    <row r="90" spans="1:36" ht="15" customHeight="1">
      <c r="A90" s="408"/>
      <c r="B90" s="380"/>
      <c r="C90" s="466"/>
      <c r="D90" s="490"/>
      <c r="E90" s="490"/>
      <c r="F90" s="495"/>
      <c r="G90" s="495"/>
      <c r="H90" s="499"/>
      <c r="I90" s="499"/>
      <c r="J90" s="504"/>
      <c r="K90" s="504"/>
      <c r="L90" s="490"/>
      <c r="M90" s="490"/>
      <c r="N90" s="495"/>
      <c r="O90" s="495"/>
      <c r="P90" s="512"/>
      <c r="Q90" s="476"/>
      <c r="R90" s="447"/>
      <c r="S90" s="447"/>
      <c r="T90" s="517"/>
      <c r="U90" s="518"/>
      <c r="V90" s="518"/>
      <c r="W90" s="390"/>
      <c r="X90" s="521"/>
      <c r="Y90" s="474">
        <f t="shared" si="2"/>
        <v>84</v>
      </c>
      <c r="Z90" s="474">
        <f>IF(OR($AL$107=Devices[[#This Row],[Input Type]], 0=Devices[[#This Row],[Input Type]]),Devices[[#This Row],[Row Num]], " ")</f>
        <v>84</v>
      </c>
      <c r="AA90" s="474">
        <f>IF(OR($AL$108=Devices[[#This Row],[Input Type]], 0=Devices[[#This Row],[Input Type]]),Devices[[#This Row],[Row Num]], " ")</f>
        <v>84</v>
      </c>
      <c r="AB90" s="474">
        <f>IF(0=Devices[[#This Row],[Input Type]], Devices[[#This Row],[Row Num]], " ")</f>
        <v>84</v>
      </c>
      <c r="AC90" s="474" t="str">
        <f>IFERROR(SMALL(Devices[Row Sel D], Devices[[#This Row],[Row Num]]), " ")</f>
        <v xml:space="preserve"> </v>
      </c>
      <c r="AD90" s="474" t="str">
        <f>IFERROR(SMALL(Devices[Row Sel SE], Devices[[#This Row],[Row Num]]), " ")</f>
        <v xml:space="preserve"> </v>
      </c>
      <c r="AE90" s="474" t="str">
        <f>IFERROR(SMALL(Devices[Row Sel N], Devices[[#This Row],[Row Num]]), " ")</f>
        <v xml:space="preserve"> </v>
      </c>
      <c r="AF90" s="474" t="str">
        <f>IFERROR(INDEX(Devices[Part], Devices[[#This Row],[Sel D]], 1), "")</f>
        <v/>
      </c>
      <c r="AG90" s="474" t="str">
        <f>IFERROR(INDEX(Devices[Part], Devices[[#This Row],[Sel SE]], 1), "")</f>
        <v/>
      </c>
      <c r="AH90" s="474" t="str">
        <f>IFERROR(INDEX(Devices[Part], Devices[[#This Row],[Sel N]], 1), "")</f>
        <v/>
      </c>
      <c r="AJ90" s="378"/>
    </row>
    <row r="91" spans="1:36" ht="15" customHeight="1">
      <c r="A91" s="475"/>
      <c r="B91" s="380"/>
      <c r="C91" s="466"/>
      <c r="D91" s="467"/>
      <c r="E91" s="489"/>
      <c r="F91" s="494"/>
      <c r="G91" s="494"/>
      <c r="H91" s="498"/>
      <c r="I91" s="498"/>
      <c r="J91" s="503"/>
      <c r="K91" s="503"/>
      <c r="L91" s="489"/>
      <c r="M91" s="489"/>
      <c r="N91" s="494"/>
      <c r="O91" s="494"/>
      <c r="P91" s="511"/>
      <c r="Q91" s="476"/>
      <c r="R91" s="515"/>
      <c r="S91" s="515"/>
      <c r="T91" s="471"/>
      <c r="U91" s="517"/>
      <c r="V91" s="517"/>
      <c r="W91" s="390"/>
      <c r="X91" s="473"/>
      <c r="Y91" s="474">
        <f t="shared" si="2"/>
        <v>85</v>
      </c>
      <c r="Z91" s="474">
        <f>IF(OR($AL$107=Devices[[#This Row],[Input Type]], 0=Devices[[#This Row],[Input Type]]),Devices[[#This Row],[Row Num]], " ")</f>
        <v>85</v>
      </c>
      <c r="AA91" s="474">
        <f>IF(OR($AL$108=Devices[[#This Row],[Input Type]], 0=Devices[[#This Row],[Input Type]]),Devices[[#This Row],[Row Num]], " ")</f>
        <v>85</v>
      </c>
      <c r="AB91" s="474">
        <f>IF(0=Devices[[#This Row],[Input Type]], Devices[[#This Row],[Row Num]], " ")</f>
        <v>85</v>
      </c>
      <c r="AC91" s="474" t="str">
        <f>IFERROR(SMALL(Devices[Row Sel D], Devices[[#This Row],[Row Num]]), " ")</f>
        <v xml:space="preserve"> </v>
      </c>
      <c r="AD91" s="474" t="str">
        <f>IFERROR(SMALL(Devices[Row Sel SE], Devices[[#This Row],[Row Num]]), " ")</f>
        <v xml:space="preserve"> </v>
      </c>
      <c r="AE91" s="474" t="str">
        <f>IFERROR(SMALL(Devices[Row Sel N], Devices[[#This Row],[Row Num]]), " ")</f>
        <v xml:space="preserve"> </v>
      </c>
      <c r="AF91" s="474" t="str">
        <f>IFERROR(INDEX(Devices[Part], Devices[[#This Row],[Sel D]], 1), "")</f>
        <v/>
      </c>
      <c r="AG91" s="474" t="str">
        <f>IFERROR(INDEX(Devices[Part], Devices[[#This Row],[Sel SE]], 1), "")</f>
        <v/>
      </c>
      <c r="AH91" s="474" t="str">
        <f>IFERROR(INDEX(Devices[Part], Devices[[#This Row],[Sel N]], 1), "")</f>
        <v/>
      </c>
      <c r="AJ91" s="378"/>
    </row>
    <row r="92" spans="1:36" ht="15" customHeight="1">
      <c r="A92" s="408"/>
      <c r="B92" s="380"/>
      <c r="C92" s="466"/>
      <c r="D92" s="489"/>
      <c r="E92" s="490"/>
      <c r="F92" s="495"/>
      <c r="G92" s="495"/>
      <c r="H92" s="499"/>
      <c r="I92" s="499"/>
      <c r="J92" s="504"/>
      <c r="K92" s="504"/>
      <c r="L92" s="490"/>
      <c r="M92" s="490"/>
      <c r="N92" s="495"/>
      <c r="O92" s="495"/>
      <c r="P92" s="512"/>
      <c r="Q92" s="476"/>
      <c r="R92" s="447"/>
      <c r="S92" s="447"/>
      <c r="T92" s="517"/>
      <c r="U92" s="518"/>
      <c r="V92" s="518"/>
      <c r="W92" s="390"/>
      <c r="X92" s="521"/>
      <c r="Y92" s="474">
        <f t="shared" si="2"/>
        <v>86</v>
      </c>
      <c r="Z92" s="474">
        <f>IF(OR($AL$107=Devices[[#This Row],[Input Type]], 0=Devices[[#This Row],[Input Type]]),Devices[[#This Row],[Row Num]], " ")</f>
        <v>86</v>
      </c>
      <c r="AA92" s="474">
        <f>IF(OR($AL$108=Devices[[#This Row],[Input Type]], 0=Devices[[#This Row],[Input Type]]),Devices[[#This Row],[Row Num]], " ")</f>
        <v>86</v>
      </c>
      <c r="AB92" s="474">
        <f>IF(0=Devices[[#This Row],[Input Type]], Devices[[#This Row],[Row Num]], " ")</f>
        <v>86</v>
      </c>
      <c r="AC92" s="474" t="str">
        <f>IFERROR(SMALL(Devices[Row Sel D], Devices[[#This Row],[Row Num]]), " ")</f>
        <v xml:space="preserve"> </v>
      </c>
      <c r="AD92" s="474" t="str">
        <f>IFERROR(SMALL(Devices[Row Sel SE], Devices[[#This Row],[Row Num]]), " ")</f>
        <v xml:space="preserve"> </v>
      </c>
      <c r="AE92" s="474" t="str">
        <f>IFERROR(SMALL(Devices[Row Sel N], Devices[[#This Row],[Row Num]]), " ")</f>
        <v xml:space="preserve"> </v>
      </c>
      <c r="AF92" s="474" t="str">
        <f>IFERROR(INDEX(Devices[Part], Devices[[#This Row],[Sel D]], 1), "")</f>
        <v/>
      </c>
      <c r="AG92" s="474" t="str">
        <f>IFERROR(INDEX(Devices[Part], Devices[[#This Row],[Sel SE]], 1), "")</f>
        <v/>
      </c>
      <c r="AH92" s="474" t="str">
        <f>IFERROR(INDEX(Devices[Part], Devices[[#This Row],[Sel N]], 1), "")</f>
        <v/>
      </c>
      <c r="AJ92" s="378"/>
    </row>
    <row r="93" spans="1:36" ht="15" customHeight="1">
      <c r="A93" s="475"/>
      <c r="B93" s="380"/>
      <c r="C93" s="466"/>
      <c r="D93" s="467"/>
      <c r="E93" s="489"/>
      <c r="F93" s="494"/>
      <c r="G93" s="494"/>
      <c r="H93" s="498"/>
      <c r="I93" s="498"/>
      <c r="J93" s="503"/>
      <c r="K93" s="503"/>
      <c r="L93" s="489"/>
      <c r="M93" s="489"/>
      <c r="N93" s="494"/>
      <c r="O93" s="494"/>
      <c r="P93" s="511"/>
      <c r="Q93" s="476"/>
      <c r="R93" s="515"/>
      <c r="S93" s="515"/>
      <c r="T93" s="471"/>
      <c r="U93" s="518"/>
      <c r="V93" s="518"/>
      <c r="W93" s="390"/>
      <c r="X93" s="521"/>
      <c r="Y93" s="474">
        <f t="shared" si="2"/>
        <v>87</v>
      </c>
      <c r="Z93" s="474">
        <f>IF(OR($AL$107=Devices[[#This Row],[Input Type]], 0=Devices[[#This Row],[Input Type]]),Devices[[#This Row],[Row Num]], " ")</f>
        <v>87</v>
      </c>
      <c r="AA93" s="474">
        <f>IF(OR($AL$108=Devices[[#This Row],[Input Type]], 0=Devices[[#This Row],[Input Type]]),Devices[[#This Row],[Row Num]], " ")</f>
        <v>87</v>
      </c>
      <c r="AB93" s="474">
        <f>IF(0=Devices[[#This Row],[Input Type]], Devices[[#This Row],[Row Num]], " ")</f>
        <v>87</v>
      </c>
      <c r="AC93" s="474" t="str">
        <f>IFERROR(SMALL(Devices[Row Sel D], Devices[[#This Row],[Row Num]]), " ")</f>
        <v xml:space="preserve"> </v>
      </c>
      <c r="AD93" s="474" t="str">
        <f>IFERROR(SMALL(Devices[Row Sel SE], Devices[[#This Row],[Row Num]]), " ")</f>
        <v xml:space="preserve"> </v>
      </c>
      <c r="AE93" s="474" t="str">
        <f>IFERROR(SMALL(Devices[Row Sel N], Devices[[#This Row],[Row Num]]), " ")</f>
        <v xml:space="preserve"> </v>
      </c>
      <c r="AF93" s="474" t="str">
        <f>IFERROR(INDEX(Devices[Part], Devices[[#This Row],[Sel D]], 1), "")</f>
        <v/>
      </c>
      <c r="AG93" s="474" t="str">
        <f>IFERROR(INDEX(Devices[Part], Devices[[#This Row],[Sel SE]], 1), "")</f>
        <v/>
      </c>
      <c r="AH93" s="474" t="str">
        <f>IFERROR(INDEX(Devices[Part], Devices[[#This Row],[Sel N]], 1), "")</f>
        <v/>
      </c>
      <c r="AJ93" s="378"/>
    </row>
    <row r="94" spans="1:36" ht="15" customHeight="1">
      <c r="A94" s="405"/>
      <c r="B94" s="380"/>
      <c r="C94" s="466"/>
      <c r="D94" s="467"/>
      <c r="E94" s="467"/>
      <c r="F94" s="468"/>
      <c r="G94" s="468"/>
      <c r="H94" s="477"/>
      <c r="I94" s="477"/>
      <c r="J94" s="469"/>
      <c r="K94" s="469"/>
      <c r="L94" s="467"/>
      <c r="M94" s="467"/>
      <c r="N94" s="468"/>
      <c r="O94" s="468"/>
      <c r="P94" s="470"/>
      <c r="Q94" s="476"/>
      <c r="R94" s="447"/>
      <c r="S94" s="447"/>
      <c r="T94" s="471"/>
      <c r="U94" s="471"/>
      <c r="V94" s="472"/>
      <c r="W94" s="390"/>
      <c r="X94" s="473"/>
      <c r="Y94" s="474">
        <f t="shared" si="2"/>
        <v>88</v>
      </c>
      <c r="Z94" s="474">
        <f>IF(OR($AL$107=Devices[[#This Row],[Input Type]], 0=Devices[[#This Row],[Input Type]]),Devices[[#This Row],[Row Num]], " ")</f>
        <v>88</v>
      </c>
      <c r="AA94" s="474">
        <f>IF(OR($AL$108=Devices[[#This Row],[Input Type]], 0=Devices[[#This Row],[Input Type]]),Devices[[#This Row],[Row Num]], " ")</f>
        <v>88</v>
      </c>
      <c r="AB94" s="474">
        <f>IF(0=Devices[[#This Row],[Input Type]], Devices[[#This Row],[Row Num]], " ")</f>
        <v>88</v>
      </c>
      <c r="AC94" s="474" t="str">
        <f>IFERROR(SMALL(Devices[Row Sel D], Devices[[#This Row],[Row Num]]), " ")</f>
        <v xml:space="preserve"> </v>
      </c>
      <c r="AD94" s="474" t="str">
        <f>IFERROR(SMALL(Devices[Row Sel SE], Devices[[#This Row],[Row Num]]), " ")</f>
        <v xml:space="preserve"> </v>
      </c>
      <c r="AE94" s="474" t="str">
        <f>IFERROR(SMALL(Devices[Row Sel N], Devices[[#This Row],[Row Num]]), " ")</f>
        <v xml:space="preserve"> </v>
      </c>
      <c r="AF94" s="474" t="str">
        <f>IFERROR(INDEX(Devices[Part], Devices[[#This Row],[Sel D]], 1), "")</f>
        <v/>
      </c>
      <c r="AG94" s="474" t="str">
        <f>IFERROR(INDEX(Devices[Part], Devices[[#This Row],[Sel SE]], 1), "")</f>
        <v/>
      </c>
      <c r="AH94" s="474" t="str">
        <f>IFERROR(INDEX(Devices[Part], Devices[[#This Row],[Sel N]], 1), "")</f>
        <v/>
      </c>
      <c r="AJ94" s="378"/>
    </row>
    <row r="95" spans="1:36" ht="15" customHeight="1">
      <c r="A95" s="379"/>
      <c r="B95" s="380"/>
      <c r="C95" s="371"/>
      <c r="D95" s="467"/>
      <c r="E95" s="467"/>
      <c r="F95" s="468"/>
      <c r="G95" s="468"/>
      <c r="H95" s="477"/>
      <c r="I95" s="477"/>
      <c r="J95" s="469"/>
      <c r="K95" s="469"/>
      <c r="L95" s="467"/>
      <c r="M95" s="467"/>
      <c r="N95" s="468"/>
      <c r="O95" s="468"/>
      <c r="P95" s="470"/>
      <c r="Q95" s="476"/>
      <c r="R95" s="447"/>
      <c r="S95" s="447"/>
      <c r="T95" s="471"/>
      <c r="U95" s="471"/>
      <c r="V95" s="472"/>
      <c r="W95" s="390"/>
      <c r="X95" s="473"/>
      <c r="Y95" s="474">
        <f t="shared" si="2"/>
        <v>89</v>
      </c>
      <c r="Z95" s="474">
        <f>IF(OR($AL$107=Devices[[#This Row],[Input Type]], 0=Devices[[#This Row],[Input Type]]),Devices[[#This Row],[Row Num]], " ")</f>
        <v>89</v>
      </c>
      <c r="AA95" s="474">
        <f>IF(OR($AL$108=Devices[[#This Row],[Input Type]], 0=Devices[[#This Row],[Input Type]]),Devices[[#This Row],[Row Num]], " ")</f>
        <v>89</v>
      </c>
      <c r="AB95" s="474">
        <f>IF(0=Devices[[#This Row],[Input Type]], Devices[[#This Row],[Row Num]], " ")</f>
        <v>89</v>
      </c>
      <c r="AC95" s="474" t="str">
        <f>IFERROR(SMALL(Devices[Row Sel D], Devices[[#This Row],[Row Num]]), " ")</f>
        <v xml:space="preserve"> </v>
      </c>
      <c r="AD95" s="474" t="str">
        <f>IFERROR(SMALL(Devices[Row Sel SE], Devices[[#This Row],[Row Num]]), " ")</f>
        <v xml:space="preserve"> </v>
      </c>
      <c r="AE95" s="474" t="str">
        <f>IFERROR(SMALL(Devices[Row Sel N], Devices[[#This Row],[Row Num]]), " ")</f>
        <v xml:space="preserve"> </v>
      </c>
      <c r="AF95" s="474" t="str">
        <f>IFERROR(INDEX(Devices[Part], Devices[[#This Row],[Sel D]], 1), "")</f>
        <v/>
      </c>
      <c r="AG95" s="474" t="str">
        <f>IFERROR(INDEX(Devices[Part], Devices[[#This Row],[Sel SE]], 1), "")</f>
        <v/>
      </c>
      <c r="AH95" s="474" t="str">
        <f>IFERROR(INDEX(Devices[Part], Devices[[#This Row],[Sel N]], 1), "")</f>
        <v/>
      </c>
    </row>
    <row r="96" spans="1:36" ht="15" customHeight="1">
      <c r="A96" s="379"/>
      <c r="B96" s="380"/>
      <c r="C96" s="371"/>
      <c r="D96" s="467"/>
      <c r="E96" s="467"/>
      <c r="F96" s="468"/>
      <c r="G96" s="468"/>
      <c r="H96" s="477"/>
      <c r="I96" s="477"/>
      <c r="J96" s="469"/>
      <c r="K96" s="469"/>
      <c r="L96" s="467"/>
      <c r="M96" s="467"/>
      <c r="N96" s="468"/>
      <c r="O96" s="468"/>
      <c r="P96" s="470"/>
      <c r="Q96" s="476"/>
      <c r="R96" s="447"/>
      <c r="S96" s="447"/>
      <c r="T96" s="471"/>
      <c r="U96" s="471"/>
      <c r="V96" s="472"/>
      <c r="W96" s="390"/>
      <c r="X96" s="473"/>
      <c r="Y96" s="474">
        <f t="shared" si="2"/>
        <v>90</v>
      </c>
      <c r="Z96" s="474">
        <f>IF(OR($AL$107=Devices[[#This Row],[Input Type]], 0=Devices[[#This Row],[Input Type]]),Devices[[#This Row],[Row Num]], " ")</f>
        <v>90</v>
      </c>
      <c r="AA96" s="474">
        <f>IF(OR($AL$108=Devices[[#This Row],[Input Type]], 0=Devices[[#This Row],[Input Type]]),Devices[[#This Row],[Row Num]], " ")</f>
        <v>90</v>
      </c>
      <c r="AB96" s="474">
        <f>IF(0=Devices[[#This Row],[Input Type]], Devices[[#This Row],[Row Num]], " ")</f>
        <v>90</v>
      </c>
      <c r="AC96" s="474" t="str">
        <f>IFERROR(SMALL(Devices[Row Sel D], Devices[[#This Row],[Row Num]]), " ")</f>
        <v xml:space="preserve"> </v>
      </c>
      <c r="AD96" s="474" t="str">
        <f>IFERROR(SMALL(Devices[Row Sel SE], Devices[[#This Row],[Row Num]]), " ")</f>
        <v xml:space="preserve"> </v>
      </c>
      <c r="AE96" s="474" t="str">
        <f>IFERROR(SMALL(Devices[Row Sel N], Devices[[#This Row],[Row Num]]), " ")</f>
        <v xml:space="preserve"> </v>
      </c>
      <c r="AF96" s="474" t="str">
        <f>IFERROR(INDEX(Devices[Part], Devices[[#This Row],[Sel D]], 1), "")</f>
        <v/>
      </c>
      <c r="AG96" s="474" t="str">
        <f>IFERROR(INDEX(Devices[Part], Devices[[#This Row],[Sel SE]], 1), "")</f>
        <v/>
      </c>
      <c r="AH96" s="474" t="str">
        <f>IFERROR(INDEX(Devices[Part], Devices[[#This Row],[Sel N]], 1), "")</f>
        <v/>
      </c>
    </row>
    <row r="97" spans="1:38" ht="15" customHeight="1">
      <c r="A97" s="379"/>
      <c r="B97" s="380"/>
      <c r="C97" s="371"/>
      <c r="D97" s="467"/>
      <c r="E97" s="467"/>
      <c r="F97" s="468"/>
      <c r="G97" s="468"/>
      <c r="H97" s="477"/>
      <c r="I97" s="477"/>
      <c r="J97" s="469"/>
      <c r="K97" s="469"/>
      <c r="L97" s="467"/>
      <c r="M97" s="467"/>
      <c r="N97" s="468"/>
      <c r="O97" s="468"/>
      <c r="P97" s="470"/>
      <c r="Q97" s="476"/>
      <c r="R97" s="447"/>
      <c r="S97" s="447"/>
      <c r="T97" s="471"/>
      <c r="U97" s="518"/>
      <c r="V97" s="518"/>
      <c r="W97" s="390"/>
      <c r="X97" s="521"/>
      <c r="Y97" s="474">
        <f t="shared" si="2"/>
        <v>91</v>
      </c>
      <c r="Z97" s="474">
        <f>IF(OR($AL$107=Devices[[#This Row],[Input Type]], 0=Devices[[#This Row],[Input Type]]),Devices[[#This Row],[Row Num]], " ")</f>
        <v>91</v>
      </c>
      <c r="AA97" s="474">
        <f>IF(OR($AL$108=Devices[[#This Row],[Input Type]], 0=Devices[[#This Row],[Input Type]]),Devices[[#This Row],[Row Num]], " ")</f>
        <v>91</v>
      </c>
      <c r="AB97" s="474">
        <f>IF(0=Devices[[#This Row],[Input Type]], Devices[[#This Row],[Row Num]], " ")</f>
        <v>91</v>
      </c>
      <c r="AC97" s="474" t="str">
        <f>IFERROR(SMALL(Devices[Row Sel D], Devices[[#This Row],[Row Num]]), " ")</f>
        <v xml:space="preserve"> </v>
      </c>
      <c r="AD97" s="474" t="str">
        <f>IFERROR(SMALL(Devices[Row Sel SE], Devices[[#This Row],[Row Num]]), " ")</f>
        <v xml:space="preserve"> </v>
      </c>
      <c r="AE97" s="474" t="str">
        <f>IFERROR(SMALL(Devices[Row Sel N], Devices[[#This Row],[Row Num]]), " ")</f>
        <v xml:space="preserve"> </v>
      </c>
      <c r="AF97" s="474" t="str">
        <f>IFERROR(INDEX(Devices[Part], Devices[[#This Row],[Sel D]], 1), "")</f>
        <v/>
      </c>
      <c r="AG97" s="474" t="str">
        <f>IFERROR(INDEX(Devices[Part], Devices[[#This Row],[Sel SE]], 1), "")</f>
        <v/>
      </c>
      <c r="AH97" s="474" t="str">
        <f>IFERROR(INDEX(Devices[Part], Devices[[#This Row],[Sel N]], 1), "")</f>
        <v/>
      </c>
    </row>
    <row r="98" spans="1:38" ht="15" customHeight="1">
      <c r="A98" s="408"/>
      <c r="B98" s="380"/>
      <c r="C98" s="371"/>
      <c r="D98" s="489"/>
      <c r="E98" s="490"/>
      <c r="F98" s="495"/>
      <c r="G98" s="495"/>
      <c r="H98" s="499"/>
      <c r="I98" s="499"/>
      <c r="J98" s="504"/>
      <c r="K98" s="504"/>
      <c r="L98" s="490"/>
      <c r="M98" s="490"/>
      <c r="N98" s="495"/>
      <c r="O98" s="495"/>
      <c r="P98" s="512"/>
      <c r="Q98" s="476"/>
      <c r="R98" s="447"/>
      <c r="S98" s="447"/>
      <c r="T98" s="517"/>
      <c r="U98" s="518"/>
      <c r="V98" s="472"/>
      <c r="W98" s="390"/>
      <c r="X98" s="521"/>
      <c r="Y98" s="474">
        <f t="shared" si="2"/>
        <v>92</v>
      </c>
      <c r="Z98" s="474">
        <f>IF(OR($AL$107=Devices[[#This Row],[Input Type]], 0=Devices[[#This Row],[Input Type]]),Devices[[#This Row],[Row Num]], " ")</f>
        <v>92</v>
      </c>
      <c r="AA98" s="474">
        <f>IF(OR($AL$108=Devices[[#This Row],[Input Type]], 0=Devices[[#This Row],[Input Type]]),Devices[[#This Row],[Row Num]], " ")</f>
        <v>92</v>
      </c>
      <c r="AB98" s="474">
        <f>IF(0=Devices[[#This Row],[Input Type]], Devices[[#This Row],[Row Num]], " ")</f>
        <v>92</v>
      </c>
      <c r="AC98" s="474" t="str">
        <f>IFERROR(SMALL(Devices[Row Sel D], Devices[[#This Row],[Row Num]]), " ")</f>
        <v xml:space="preserve"> </v>
      </c>
      <c r="AD98" s="474" t="str">
        <f>IFERROR(SMALL(Devices[Row Sel SE], Devices[[#This Row],[Row Num]]), " ")</f>
        <v xml:space="preserve"> </v>
      </c>
      <c r="AE98" s="474" t="str">
        <f>IFERROR(SMALL(Devices[Row Sel N], Devices[[#This Row],[Row Num]]), " ")</f>
        <v xml:space="preserve"> </v>
      </c>
      <c r="AF98" s="474" t="str">
        <f>IFERROR(INDEX(Devices[Part], Devices[[#This Row],[Sel D]], 1), "")</f>
        <v/>
      </c>
      <c r="AG98" s="474" t="str">
        <f>IFERROR(INDEX(Devices[Part], Devices[[#This Row],[Sel SE]], 1), "")</f>
        <v/>
      </c>
      <c r="AH98" s="474" t="str">
        <f>IFERROR(INDEX(Devices[Part], Devices[[#This Row],[Sel N]], 1), "")</f>
        <v/>
      </c>
    </row>
    <row r="99" spans="1:38" ht="15" customHeight="1">
      <c r="A99" s="405"/>
      <c r="B99" s="380"/>
      <c r="C99" s="371"/>
      <c r="D99" s="467"/>
      <c r="E99" s="467"/>
      <c r="F99" s="468"/>
      <c r="G99" s="468"/>
      <c r="H99" s="477"/>
      <c r="I99" s="477"/>
      <c r="J99" s="469"/>
      <c r="K99" s="469"/>
      <c r="L99" s="467"/>
      <c r="M99" s="467"/>
      <c r="N99" s="468"/>
      <c r="O99" s="468"/>
      <c r="P99" s="470"/>
      <c r="Q99" s="476"/>
      <c r="R99" s="447"/>
      <c r="S99" s="447"/>
      <c r="T99" s="471"/>
      <c r="U99" s="471"/>
      <c r="V99" s="472"/>
      <c r="W99" s="390"/>
      <c r="X99" s="473"/>
      <c r="Y99" s="474">
        <f t="shared" si="2"/>
        <v>93</v>
      </c>
      <c r="Z99" s="474">
        <f>IF(OR($AL$107=Devices[[#This Row],[Input Type]], 0=Devices[[#This Row],[Input Type]]),Devices[[#This Row],[Row Num]], " ")</f>
        <v>93</v>
      </c>
      <c r="AA99" s="474">
        <f>IF(OR($AL$108=Devices[[#This Row],[Input Type]], 0=Devices[[#This Row],[Input Type]]),Devices[[#This Row],[Row Num]], " ")</f>
        <v>93</v>
      </c>
      <c r="AB99" s="474">
        <f>IF(0=Devices[[#This Row],[Input Type]], Devices[[#This Row],[Row Num]], " ")</f>
        <v>93</v>
      </c>
      <c r="AC99" s="474" t="str">
        <f>IFERROR(SMALL(Devices[Row Sel D], Devices[[#This Row],[Row Num]]), " ")</f>
        <v xml:space="preserve"> </v>
      </c>
      <c r="AD99" s="474" t="str">
        <f>IFERROR(SMALL(Devices[Row Sel SE], Devices[[#This Row],[Row Num]]), " ")</f>
        <v xml:space="preserve"> </v>
      </c>
      <c r="AE99" s="474" t="str">
        <f>IFERROR(SMALL(Devices[Row Sel N], Devices[[#This Row],[Row Num]]), " ")</f>
        <v xml:space="preserve"> </v>
      </c>
      <c r="AF99" s="474" t="str">
        <f>IFERROR(INDEX(Devices[Part], Devices[[#This Row],[Sel D]], 1), "")</f>
        <v/>
      </c>
      <c r="AG99" s="474" t="str">
        <f>IFERROR(INDEX(Devices[Part], Devices[[#This Row],[Sel SE]], 1), "")</f>
        <v/>
      </c>
      <c r="AH99" s="474" t="str">
        <f>IFERROR(INDEX(Devices[Part], Devices[[#This Row],[Sel N]], 1), "")</f>
        <v/>
      </c>
    </row>
    <row r="100" spans="1:38" ht="15" customHeight="1">
      <c r="A100" s="405"/>
      <c r="B100" s="380"/>
      <c r="C100" s="371"/>
      <c r="D100" s="467"/>
      <c r="E100" s="467"/>
      <c r="F100" s="468"/>
      <c r="G100" s="468"/>
      <c r="H100" s="477"/>
      <c r="I100" s="477"/>
      <c r="J100" s="469"/>
      <c r="K100" s="469"/>
      <c r="L100" s="467"/>
      <c r="M100" s="467"/>
      <c r="N100" s="468"/>
      <c r="O100" s="468"/>
      <c r="P100" s="470"/>
      <c r="Q100" s="476"/>
      <c r="R100" s="447"/>
      <c r="S100" s="447"/>
      <c r="T100" s="471"/>
      <c r="U100" s="471"/>
      <c r="V100" s="472"/>
      <c r="W100" s="390"/>
      <c r="X100" s="473"/>
      <c r="Y100" s="474">
        <f t="shared" si="2"/>
        <v>94</v>
      </c>
      <c r="Z100" s="474">
        <f>IF(OR($AL$107=Devices[[#This Row],[Input Type]], 0=Devices[[#This Row],[Input Type]]),Devices[[#This Row],[Row Num]], " ")</f>
        <v>94</v>
      </c>
      <c r="AA100" s="474">
        <f>IF(OR($AL$108=Devices[[#This Row],[Input Type]], 0=Devices[[#This Row],[Input Type]]),Devices[[#This Row],[Row Num]], " ")</f>
        <v>94</v>
      </c>
      <c r="AB100" s="474">
        <f>IF(0=Devices[[#This Row],[Input Type]], Devices[[#This Row],[Row Num]], " ")</f>
        <v>94</v>
      </c>
      <c r="AC100" s="474" t="str">
        <f>IFERROR(SMALL(Devices[Row Sel D], Devices[[#This Row],[Row Num]]), " ")</f>
        <v xml:space="preserve"> </v>
      </c>
      <c r="AD100" s="474" t="str">
        <f>IFERROR(SMALL(Devices[Row Sel SE], Devices[[#This Row],[Row Num]]), " ")</f>
        <v xml:space="preserve"> </v>
      </c>
      <c r="AE100" s="474" t="str">
        <f>IFERROR(SMALL(Devices[Row Sel N], Devices[[#This Row],[Row Num]]), " ")</f>
        <v xml:space="preserve"> </v>
      </c>
      <c r="AF100" s="474" t="str">
        <f>IFERROR(INDEX(Devices[Part], Devices[[#This Row],[Sel D]], 1), "")</f>
        <v/>
      </c>
      <c r="AG100" s="474" t="str">
        <f>IFERROR(INDEX(Devices[Part], Devices[[#This Row],[Sel SE]], 1), "")</f>
        <v/>
      </c>
      <c r="AH100" s="474" t="str">
        <f>IFERROR(INDEX(Devices[Part], Devices[[#This Row],[Sel N]], 1), "")</f>
        <v/>
      </c>
    </row>
    <row r="101" spans="1:38" ht="15" customHeight="1">
      <c r="A101" s="405"/>
      <c r="B101" s="380"/>
      <c r="C101" s="371"/>
      <c r="D101" s="467"/>
      <c r="E101" s="467"/>
      <c r="F101" s="468"/>
      <c r="G101" s="468"/>
      <c r="H101" s="477"/>
      <c r="I101" s="477"/>
      <c r="J101" s="469"/>
      <c r="K101" s="469"/>
      <c r="L101" s="467"/>
      <c r="M101" s="467"/>
      <c r="N101" s="468"/>
      <c r="O101" s="468"/>
      <c r="P101" s="470"/>
      <c r="Q101" s="476"/>
      <c r="R101" s="447"/>
      <c r="S101" s="447"/>
      <c r="T101" s="471"/>
      <c r="U101" s="471"/>
      <c r="V101" s="472"/>
      <c r="W101" s="390"/>
      <c r="X101" s="473"/>
      <c r="Y101" s="474">
        <f t="shared" si="2"/>
        <v>95</v>
      </c>
      <c r="Z101" s="474">
        <f>IF(OR($AL$107=Devices[[#This Row],[Input Type]], 0=Devices[[#This Row],[Input Type]]),Devices[[#This Row],[Row Num]], " ")</f>
        <v>95</v>
      </c>
      <c r="AA101" s="474">
        <f>IF(OR($AL$108=Devices[[#This Row],[Input Type]], 0=Devices[[#This Row],[Input Type]]),Devices[[#This Row],[Row Num]], " ")</f>
        <v>95</v>
      </c>
      <c r="AB101" s="474">
        <f>IF(0=Devices[[#This Row],[Input Type]], Devices[[#This Row],[Row Num]], " ")</f>
        <v>95</v>
      </c>
      <c r="AC101" s="474" t="str">
        <f>IFERROR(SMALL(Devices[Row Sel D], Devices[[#This Row],[Row Num]]), " ")</f>
        <v xml:space="preserve"> </v>
      </c>
      <c r="AD101" s="474" t="str">
        <f>IFERROR(SMALL(Devices[Row Sel SE], Devices[[#This Row],[Row Num]]), " ")</f>
        <v xml:space="preserve"> </v>
      </c>
      <c r="AE101" s="474" t="str">
        <f>IFERROR(SMALL(Devices[Row Sel N], Devices[[#This Row],[Row Num]]), " ")</f>
        <v xml:space="preserve"> </v>
      </c>
      <c r="AF101" s="474" t="str">
        <f>IFERROR(INDEX(Devices[Part], Devices[[#This Row],[Sel D]], 1), "")</f>
        <v/>
      </c>
      <c r="AG101" s="474" t="str">
        <f>IFERROR(INDEX(Devices[Part], Devices[[#This Row],[Sel SE]], 1), "")</f>
        <v/>
      </c>
      <c r="AH101" s="474" t="str">
        <f>IFERROR(INDEX(Devices[Part], Devices[[#This Row],[Sel N]], 1), "")</f>
        <v/>
      </c>
    </row>
    <row r="102" spans="1:38" ht="15" customHeight="1">
      <c r="A102" s="405"/>
      <c r="B102" s="380"/>
      <c r="C102" s="371"/>
      <c r="D102" s="467"/>
      <c r="E102" s="467"/>
      <c r="F102" s="468"/>
      <c r="G102" s="468"/>
      <c r="H102" s="477"/>
      <c r="I102" s="477"/>
      <c r="J102" s="469"/>
      <c r="K102" s="469"/>
      <c r="L102" s="467"/>
      <c r="M102" s="467"/>
      <c r="N102" s="468"/>
      <c r="O102" s="468"/>
      <c r="P102" s="470"/>
      <c r="Q102" s="476"/>
      <c r="R102" s="447"/>
      <c r="S102" s="447"/>
      <c r="T102" s="471"/>
      <c r="U102" s="471"/>
      <c r="V102" s="472"/>
      <c r="W102" s="390"/>
      <c r="X102" s="473"/>
      <c r="Y102" s="474">
        <f t="shared" si="2"/>
        <v>96</v>
      </c>
      <c r="Z102" s="474">
        <f>IF(OR($AL$107=Devices[[#This Row],[Input Type]], 0=Devices[[#This Row],[Input Type]]),Devices[[#This Row],[Row Num]], " ")</f>
        <v>96</v>
      </c>
      <c r="AA102" s="474">
        <f>IF(OR($AL$108=Devices[[#This Row],[Input Type]], 0=Devices[[#This Row],[Input Type]]),Devices[[#This Row],[Row Num]], " ")</f>
        <v>96</v>
      </c>
      <c r="AB102" s="474">
        <f>IF(0=Devices[[#This Row],[Input Type]], Devices[[#This Row],[Row Num]], " ")</f>
        <v>96</v>
      </c>
      <c r="AC102" s="474" t="str">
        <f>IFERROR(SMALL(Devices[Row Sel D], Devices[[#This Row],[Row Num]]), " ")</f>
        <v xml:space="preserve"> </v>
      </c>
      <c r="AD102" s="474" t="str">
        <f>IFERROR(SMALL(Devices[Row Sel SE], Devices[[#This Row],[Row Num]]), " ")</f>
        <v xml:space="preserve"> </v>
      </c>
      <c r="AE102" s="474" t="str">
        <f>IFERROR(SMALL(Devices[Row Sel N], Devices[[#This Row],[Row Num]]), " ")</f>
        <v xml:space="preserve"> </v>
      </c>
      <c r="AF102" s="474" t="str">
        <f>IFERROR(INDEX(Devices[Part], Devices[[#This Row],[Sel D]], 1), "")</f>
        <v/>
      </c>
      <c r="AG102" s="474" t="str">
        <f>IFERROR(INDEX(Devices[Part], Devices[[#This Row],[Sel SE]], 1), "")</f>
        <v/>
      </c>
      <c r="AH102" s="474" t="str">
        <f>IFERROR(INDEX(Devices[Part], Devices[[#This Row],[Sel N]], 1), "")</f>
        <v/>
      </c>
    </row>
    <row r="103" spans="1:38" ht="15" customHeight="1">
      <c r="A103" s="405"/>
      <c r="B103" s="380"/>
      <c r="C103" s="371"/>
      <c r="D103" s="467"/>
      <c r="E103" s="467"/>
      <c r="F103" s="468"/>
      <c r="G103" s="468"/>
      <c r="H103" s="477"/>
      <c r="I103" s="477"/>
      <c r="J103" s="469"/>
      <c r="K103" s="469"/>
      <c r="L103" s="467"/>
      <c r="M103" s="467"/>
      <c r="N103" s="468"/>
      <c r="O103" s="468"/>
      <c r="P103" s="470"/>
      <c r="Q103" s="476"/>
      <c r="R103" s="447"/>
      <c r="S103" s="447"/>
      <c r="T103" s="471"/>
      <c r="U103" s="471"/>
      <c r="V103" s="472"/>
      <c r="W103" s="390"/>
      <c r="X103" s="473"/>
      <c r="Y103" s="474">
        <f t="shared" si="2"/>
        <v>97</v>
      </c>
      <c r="Z103" s="474">
        <f>IF(OR($AL$107=Devices[[#This Row],[Input Type]], 0=Devices[[#This Row],[Input Type]]),Devices[[#This Row],[Row Num]], " ")</f>
        <v>97</v>
      </c>
      <c r="AA103" s="474">
        <f>IF(OR($AL$108=Devices[[#This Row],[Input Type]], 0=Devices[[#This Row],[Input Type]]),Devices[[#This Row],[Row Num]], " ")</f>
        <v>97</v>
      </c>
      <c r="AB103" s="474">
        <f>IF(0=Devices[[#This Row],[Input Type]], Devices[[#This Row],[Row Num]], " ")</f>
        <v>97</v>
      </c>
      <c r="AC103" s="474" t="str">
        <f>IFERROR(SMALL(Devices[Row Sel D], Devices[[#This Row],[Row Num]]), " ")</f>
        <v xml:space="preserve"> </v>
      </c>
      <c r="AD103" s="474" t="str">
        <f>IFERROR(SMALL(Devices[Row Sel SE], Devices[[#This Row],[Row Num]]), " ")</f>
        <v xml:space="preserve"> </v>
      </c>
      <c r="AE103" s="474" t="str">
        <f>IFERROR(SMALL(Devices[Row Sel N], Devices[[#This Row],[Row Num]]), " ")</f>
        <v xml:space="preserve"> </v>
      </c>
      <c r="AF103" s="474" t="str">
        <f>IFERROR(INDEX(Devices[Part], Devices[[#This Row],[Sel D]], 1), "")</f>
        <v/>
      </c>
      <c r="AG103" s="474" t="str">
        <f>IFERROR(INDEX(Devices[Part], Devices[[#This Row],[Sel SE]], 1), "")</f>
        <v/>
      </c>
      <c r="AH103" s="474" t="str">
        <f>IFERROR(INDEX(Devices[Part], Devices[[#This Row],[Sel N]], 1), "")</f>
        <v/>
      </c>
    </row>
    <row r="104" spans="1:38" ht="15" customHeight="1">
      <c r="A104" s="408"/>
      <c r="B104" s="380"/>
      <c r="C104" s="371"/>
      <c r="D104" s="490"/>
      <c r="E104" s="490"/>
      <c r="F104" s="495"/>
      <c r="G104" s="495"/>
      <c r="H104" s="499"/>
      <c r="I104" s="499"/>
      <c r="J104" s="504"/>
      <c r="K104" s="504"/>
      <c r="L104" s="490"/>
      <c r="M104" s="490"/>
      <c r="N104" s="495"/>
      <c r="O104" s="495"/>
      <c r="P104" s="512"/>
      <c r="Q104" s="476"/>
      <c r="R104" s="447"/>
      <c r="S104" s="447"/>
      <c r="T104" s="517"/>
      <c r="U104" s="518"/>
      <c r="V104" s="518"/>
      <c r="W104" s="390"/>
      <c r="X104" s="521"/>
      <c r="Y104" s="474">
        <f t="shared" si="2"/>
        <v>98</v>
      </c>
      <c r="Z104" s="474">
        <f>IF(OR($AL$107=Devices[[#This Row],[Input Type]], 0=Devices[[#This Row],[Input Type]]),Devices[[#This Row],[Row Num]], " ")</f>
        <v>98</v>
      </c>
      <c r="AA104" s="474">
        <f>IF(OR($AL$108=Devices[[#This Row],[Input Type]], 0=Devices[[#This Row],[Input Type]]),Devices[[#This Row],[Row Num]], " ")</f>
        <v>98</v>
      </c>
      <c r="AB104" s="474">
        <f>IF(0=Devices[[#This Row],[Input Type]], Devices[[#This Row],[Row Num]], " ")</f>
        <v>98</v>
      </c>
      <c r="AC104" s="474" t="str">
        <f>IFERROR(SMALL(Devices[Row Sel D], Devices[[#This Row],[Row Num]]), " ")</f>
        <v xml:space="preserve"> </v>
      </c>
      <c r="AD104" s="474" t="str">
        <f>IFERROR(SMALL(Devices[Row Sel SE], Devices[[#This Row],[Row Num]]), " ")</f>
        <v xml:space="preserve"> </v>
      </c>
      <c r="AE104" s="474" t="str">
        <f>IFERROR(SMALL(Devices[Row Sel N], Devices[[#This Row],[Row Num]]), " ")</f>
        <v xml:space="preserve"> </v>
      </c>
      <c r="AF104" s="474" t="str">
        <f>IFERROR(INDEX(Devices[Part], Devices[[#This Row],[Sel D]], 1), "")</f>
        <v/>
      </c>
      <c r="AG104" s="474" t="str">
        <f>IFERROR(INDEX(Devices[Part], Devices[[#This Row],[Sel SE]], 1), "")</f>
        <v/>
      </c>
      <c r="AH104" s="474" t="str">
        <f>IFERROR(INDEX(Devices[Part], Devices[[#This Row],[Sel N]], 1), "")</f>
        <v/>
      </c>
    </row>
    <row r="105" spans="1:38" ht="15" customHeight="1">
      <c r="A105" s="487"/>
      <c r="B105" s="380"/>
      <c r="C105" s="371"/>
      <c r="D105" s="491"/>
      <c r="E105" s="490"/>
      <c r="F105" s="495"/>
      <c r="G105" s="495"/>
      <c r="H105" s="499"/>
      <c r="I105" s="499"/>
      <c r="J105" s="504"/>
      <c r="K105" s="504"/>
      <c r="L105" s="490"/>
      <c r="M105" s="490"/>
      <c r="N105" s="495"/>
      <c r="O105" s="495"/>
      <c r="P105" s="512"/>
      <c r="Q105" s="476"/>
      <c r="R105" s="447"/>
      <c r="S105" s="447"/>
      <c r="T105" s="472"/>
      <c r="U105" s="518"/>
      <c r="V105" s="518"/>
      <c r="W105" s="390"/>
      <c r="X105" s="521"/>
      <c r="Y105" s="474">
        <f t="shared" si="2"/>
        <v>99</v>
      </c>
      <c r="Z105" s="474">
        <f>IF(OR($AL$107=Devices[[#This Row],[Input Type]], 0=Devices[[#This Row],[Input Type]]),Devices[[#This Row],[Row Num]], " ")</f>
        <v>99</v>
      </c>
      <c r="AA105" s="474">
        <f>IF(OR($AL$108=Devices[[#This Row],[Input Type]], 0=Devices[[#This Row],[Input Type]]),Devices[[#This Row],[Row Num]], " ")</f>
        <v>99</v>
      </c>
      <c r="AB105" s="474">
        <f>IF(0=Devices[[#This Row],[Input Type]], Devices[[#This Row],[Row Num]], " ")</f>
        <v>99</v>
      </c>
      <c r="AC105" s="474" t="str">
        <f>IFERROR(SMALL(Devices[Row Sel D], Devices[[#This Row],[Row Num]]), " ")</f>
        <v xml:space="preserve"> </v>
      </c>
      <c r="AD105" s="474" t="str">
        <f>IFERROR(SMALL(Devices[Row Sel SE], Devices[[#This Row],[Row Num]]), " ")</f>
        <v xml:space="preserve"> </v>
      </c>
      <c r="AE105" s="474" t="str">
        <f>IFERROR(SMALL(Devices[Row Sel N], Devices[[#This Row],[Row Num]]), " ")</f>
        <v xml:space="preserve"> </v>
      </c>
      <c r="AF105" s="474" t="str">
        <f>IFERROR(INDEX(Devices[Part], Devices[[#This Row],[Sel D]], 1), "")</f>
        <v/>
      </c>
      <c r="AG105" s="474" t="str">
        <f>IFERROR(INDEX(Devices[Part], Devices[[#This Row],[Sel SE]], 1), "")</f>
        <v/>
      </c>
      <c r="AH105" s="474" t="str">
        <f>IFERROR(INDEX(Devices[Part], Devices[[#This Row],[Sel N]], 1), "")</f>
        <v/>
      </c>
      <c r="AL105" s="218" t="s">
        <v>45</v>
      </c>
    </row>
    <row r="106" spans="1:38" ht="15" customHeight="1">
      <c r="A106" s="425"/>
      <c r="B106" s="357"/>
      <c r="C106" s="357"/>
      <c r="D106" s="357"/>
      <c r="E106" s="426"/>
      <c r="F106" s="426"/>
      <c r="G106" s="427"/>
      <c r="H106" s="427"/>
      <c r="I106" s="428"/>
      <c r="J106" s="428"/>
      <c r="K106" s="357"/>
      <c r="L106" s="357"/>
      <c r="M106" s="426"/>
      <c r="N106" s="426"/>
      <c r="O106" s="429"/>
      <c r="P106" s="430"/>
      <c r="Q106" s="430"/>
      <c r="R106" s="431"/>
      <c r="S106" s="431"/>
      <c r="T106" s="430"/>
      <c r="U106" s="432"/>
      <c r="V106" s="432"/>
      <c r="W106" s="432"/>
    </row>
    <row r="107" spans="1:38" ht="15" customHeight="1">
      <c r="A107" s="425"/>
      <c r="B107" s="357"/>
      <c r="C107" s="357"/>
      <c r="D107" s="357"/>
      <c r="E107" s="426"/>
      <c r="F107" s="426"/>
      <c r="G107" s="427"/>
      <c r="H107" s="427"/>
      <c r="I107" s="428"/>
      <c r="J107" s="428"/>
      <c r="K107" s="357"/>
      <c r="L107" s="357"/>
      <c r="M107" s="426"/>
      <c r="N107" s="426"/>
      <c r="O107" s="429"/>
      <c r="P107" s="430"/>
      <c r="Q107" s="430"/>
      <c r="R107" s="431"/>
      <c r="S107" s="431"/>
      <c r="T107" s="430"/>
      <c r="U107" s="432"/>
      <c r="V107" s="432"/>
      <c r="W107" s="432"/>
      <c r="AL107" s="218" t="s">
        <v>46</v>
      </c>
    </row>
    <row r="108" spans="1:38" ht="15" customHeight="1">
      <c r="A108" s="425"/>
      <c r="B108" s="357"/>
      <c r="C108" s="357"/>
      <c r="D108" s="357"/>
      <c r="E108" s="426"/>
      <c r="F108" s="426"/>
      <c r="G108" s="427"/>
      <c r="H108" s="427"/>
      <c r="I108" s="428"/>
      <c r="J108" s="428"/>
      <c r="K108" s="357"/>
      <c r="L108" s="357"/>
      <c r="M108" s="426"/>
      <c r="N108" s="426"/>
      <c r="O108" s="429"/>
      <c r="P108" s="430"/>
      <c r="Q108" s="430"/>
      <c r="R108" s="431"/>
      <c r="S108" s="431"/>
      <c r="T108" s="430"/>
      <c r="U108" s="432"/>
      <c r="V108" s="432"/>
      <c r="W108" s="432"/>
      <c r="AL108" s="218" t="s">
        <v>47</v>
      </c>
    </row>
    <row r="109" spans="1:38" ht="15" customHeight="1">
      <c r="A109" s="425"/>
      <c r="B109" s="357"/>
      <c r="C109" s="357"/>
      <c r="D109" s="357"/>
      <c r="E109" s="426"/>
      <c r="F109" s="426"/>
      <c r="G109" s="427"/>
      <c r="H109" s="427"/>
      <c r="I109" s="428"/>
      <c r="J109" s="428"/>
      <c r="K109" s="357"/>
      <c r="L109" s="357"/>
      <c r="M109" s="426"/>
      <c r="N109" s="426"/>
      <c r="O109" s="429"/>
      <c r="P109" s="430"/>
      <c r="Q109" s="430"/>
      <c r="R109" s="431"/>
      <c r="S109" s="431"/>
      <c r="T109" s="430"/>
      <c r="U109" s="432"/>
      <c r="V109" s="432"/>
      <c r="W109" s="432"/>
    </row>
    <row r="110" spans="1:38" ht="15" customHeight="1">
      <c r="A110" s="425"/>
      <c r="B110" s="357"/>
      <c r="C110" s="357"/>
      <c r="D110" s="357"/>
      <c r="E110" s="426"/>
      <c r="F110" s="426"/>
      <c r="G110" s="427"/>
      <c r="H110" s="427"/>
      <c r="I110" s="428"/>
      <c r="J110" s="428"/>
      <c r="K110" s="357"/>
      <c r="L110" s="357"/>
      <c r="M110" s="426"/>
      <c r="N110" s="426"/>
      <c r="O110" s="429"/>
      <c r="P110" s="430"/>
      <c r="Q110" s="430"/>
      <c r="R110" s="431"/>
      <c r="S110" s="431"/>
      <c r="T110" s="430"/>
      <c r="U110" s="432"/>
      <c r="V110" s="432"/>
      <c r="W110" s="432"/>
    </row>
    <row r="111" spans="1:38" ht="15" customHeight="1">
      <c r="A111" s="425"/>
      <c r="B111" s="357"/>
      <c r="C111" s="357"/>
      <c r="D111" s="357"/>
      <c r="E111" s="426"/>
      <c r="F111" s="426"/>
      <c r="G111" s="427"/>
      <c r="H111" s="427"/>
      <c r="I111" s="428"/>
      <c r="J111" s="428"/>
      <c r="K111" s="357"/>
      <c r="L111" s="357"/>
      <c r="M111" s="426"/>
      <c r="N111" s="426"/>
      <c r="O111" s="429"/>
      <c r="P111" s="430"/>
      <c r="Q111" s="430"/>
      <c r="R111" s="431"/>
      <c r="S111" s="431"/>
      <c r="T111" s="430"/>
      <c r="U111" s="432"/>
      <c r="V111" s="432"/>
      <c r="W111" s="432"/>
    </row>
    <row r="112" spans="1:38" ht="15" customHeight="1">
      <c r="A112" s="425"/>
      <c r="B112" s="357"/>
      <c r="C112" s="357"/>
      <c r="D112" s="357"/>
      <c r="E112" s="426"/>
      <c r="F112" s="426"/>
      <c r="G112" s="427"/>
      <c r="H112" s="427"/>
      <c r="I112" s="428"/>
      <c r="J112" s="428"/>
      <c r="K112" s="357"/>
      <c r="L112" s="357"/>
      <c r="M112" s="426"/>
      <c r="N112" s="426"/>
      <c r="O112" s="429"/>
      <c r="P112" s="430"/>
      <c r="Q112" s="430"/>
      <c r="R112" s="431"/>
      <c r="S112" s="431"/>
      <c r="T112" s="430"/>
      <c r="U112" s="432"/>
      <c r="V112" s="432"/>
      <c r="W112" s="432"/>
    </row>
    <row r="113" spans="1:23" ht="15" customHeight="1">
      <c r="A113" s="425"/>
      <c r="B113" s="357"/>
      <c r="C113" s="357"/>
      <c r="D113" s="357"/>
      <c r="E113" s="426"/>
      <c r="F113" s="426"/>
      <c r="G113" s="427"/>
      <c r="H113" s="427"/>
      <c r="I113" s="428"/>
      <c r="J113" s="428"/>
      <c r="K113" s="357"/>
      <c r="L113" s="357"/>
      <c r="M113" s="426"/>
      <c r="N113" s="426"/>
      <c r="O113" s="429"/>
      <c r="P113" s="430"/>
      <c r="Q113" s="430"/>
      <c r="R113" s="431"/>
      <c r="S113" s="431"/>
      <c r="T113" s="430"/>
      <c r="U113" s="432"/>
      <c r="V113" s="432"/>
      <c r="W113" s="432"/>
    </row>
    <row r="114" spans="1:23" ht="15" customHeight="1">
      <c r="A114" s="425"/>
      <c r="B114" s="357"/>
      <c r="C114" s="357"/>
      <c r="D114" s="357"/>
      <c r="E114" s="426"/>
      <c r="F114" s="426"/>
      <c r="G114" s="427"/>
      <c r="H114" s="427"/>
      <c r="I114" s="428"/>
      <c r="J114" s="428"/>
      <c r="K114" s="357"/>
      <c r="L114" s="357"/>
      <c r="M114" s="426"/>
      <c r="N114" s="426"/>
      <c r="O114" s="429"/>
      <c r="P114" s="430"/>
      <c r="Q114" s="430"/>
      <c r="R114" s="431"/>
      <c r="S114" s="431"/>
      <c r="T114" s="430"/>
      <c r="U114" s="432"/>
      <c r="V114" s="432"/>
      <c r="W114" s="432"/>
    </row>
    <row r="115" spans="1:23" ht="15" customHeight="1">
      <c r="A115" s="425"/>
      <c r="B115" s="357"/>
      <c r="C115" s="357"/>
      <c r="D115" s="357"/>
      <c r="E115" s="426"/>
      <c r="F115" s="426"/>
      <c r="G115" s="427"/>
      <c r="H115" s="427"/>
      <c r="I115" s="428"/>
      <c r="J115" s="428"/>
      <c r="K115" s="357"/>
      <c r="L115" s="357"/>
      <c r="M115" s="426"/>
      <c r="N115" s="426"/>
      <c r="O115" s="429"/>
      <c r="P115" s="430"/>
      <c r="Q115" s="430"/>
      <c r="R115" s="431"/>
      <c r="S115" s="431"/>
      <c r="T115" s="430"/>
      <c r="U115" s="432"/>
      <c r="V115" s="432"/>
      <c r="W115" s="432"/>
    </row>
    <row r="116" spans="1:23" ht="15" customHeight="1">
      <c r="A116" s="425"/>
      <c r="B116" s="357"/>
      <c r="C116" s="357"/>
      <c r="D116" s="357"/>
      <c r="E116" s="426"/>
      <c r="F116" s="426"/>
      <c r="G116" s="427"/>
      <c r="H116" s="427"/>
      <c r="I116" s="428"/>
      <c r="J116" s="428"/>
      <c r="K116" s="357"/>
      <c r="L116" s="357"/>
      <c r="M116" s="426"/>
      <c r="N116" s="426"/>
      <c r="O116" s="429"/>
      <c r="P116" s="430"/>
      <c r="Q116" s="430"/>
      <c r="R116" s="431"/>
      <c r="S116" s="431"/>
      <c r="T116" s="430"/>
      <c r="U116" s="432"/>
      <c r="V116" s="432"/>
      <c r="W116" s="432"/>
    </row>
    <row r="117" spans="1:23" ht="15" customHeight="1">
      <c r="A117" s="425"/>
      <c r="B117" s="357"/>
      <c r="C117" s="357"/>
      <c r="D117" s="357"/>
      <c r="E117" s="426"/>
      <c r="F117" s="426"/>
      <c r="G117" s="427"/>
      <c r="H117" s="427"/>
      <c r="I117" s="428"/>
      <c r="J117" s="428"/>
      <c r="K117" s="357"/>
      <c r="L117" s="357"/>
      <c r="M117" s="426"/>
      <c r="N117" s="426"/>
      <c r="O117" s="429"/>
      <c r="P117" s="430"/>
      <c r="Q117" s="430"/>
      <c r="R117" s="431"/>
      <c r="S117" s="431"/>
      <c r="T117" s="430"/>
      <c r="U117" s="432"/>
      <c r="V117" s="432"/>
      <c r="W117" s="432"/>
    </row>
    <row r="118" spans="1:23" ht="15" customHeight="1">
      <c r="A118" s="425"/>
      <c r="B118" s="357"/>
      <c r="C118" s="357"/>
      <c r="D118" s="357"/>
      <c r="E118" s="426"/>
      <c r="F118" s="426"/>
      <c r="G118" s="427"/>
      <c r="H118" s="427"/>
      <c r="I118" s="428"/>
      <c r="J118" s="428"/>
      <c r="K118" s="357"/>
      <c r="L118" s="357"/>
      <c r="M118" s="426"/>
      <c r="N118" s="426"/>
      <c r="O118" s="429"/>
      <c r="P118" s="430"/>
      <c r="Q118" s="430"/>
      <c r="R118" s="431"/>
      <c r="S118" s="431"/>
      <c r="T118" s="430"/>
      <c r="U118" s="432"/>
      <c r="V118" s="432"/>
      <c r="W118" s="432"/>
    </row>
    <row r="119" spans="1:23" ht="15" customHeight="1">
      <c r="A119" s="425"/>
      <c r="B119" s="357"/>
      <c r="C119" s="357"/>
      <c r="D119" s="357"/>
      <c r="E119" s="426"/>
      <c r="F119" s="426"/>
      <c r="G119" s="427"/>
      <c r="H119" s="427"/>
      <c r="I119" s="428"/>
      <c r="J119" s="428"/>
      <c r="K119" s="357"/>
      <c r="L119" s="357"/>
      <c r="M119" s="426"/>
      <c r="N119" s="426"/>
      <c r="O119" s="429"/>
      <c r="P119" s="430"/>
      <c r="Q119" s="430"/>
      <c r="R119" s="431"/>
      <c r="S119" s="431"/>
      <c r="T119" s="430"/>
      <c r="U119" s="432"/>
      <c r="V119" s="432"/>
      <c r="W119" s="432"/>
    </row>
    <row r="120" spans="1:23" ht="15" customHeight="1">
      <c r="A120" s="425"/>
      <c r="B120" s="357"/>
      <c r="C120" s="357"/>
      <c r="D120" s="357"/>
      <c r="E120" s="426"/>
      <c r="F120" s="426"/>
      <c r="G120" s="427"/>
      <c r="H120" s="427"/>
      <c r="I120" s="428"/>
      <c r="J120" s="428"/>
      <c r="K120" s="357"/>
      <c r="L120" s="357"/>
      <c r="M120" s="426"/>
      <c r="N120" s="426"/>
      <c r="O120" s="429"/>
      <c r="P120" s="430"/>
      <c r="Q120" s="430"/>
      <c r="R120" s="431"/>
      <c r="S120" s="431"/>
      <c r="T120" s="430"/>
      <c r="U120" s="432"/>
      <c r="V120" s="432"/>
      <c r="W120" s="432"/>
    </row>
    <row r="121" spans="1:23" ht="15" customHeight="1">
      <c r="A121" s="425"/>
      <c r="B121" s="357"/>
      <c r="C121" s="357"/>
      <c r="D121" s="357"/>
      <c r="E121" s="426"/>
      <c r="F121" s="426"/>
      <c r="G121" s="427"/>
      <c r="H121" s="427"/>
      <c r="I121" s="428"/>
      <c r="J121" s="428"/>
      <c r="K121" s="357"/>
      <c r="L121" s="357"/>
      <c r="M121" s="426"/>
      <c r="N121" s="426"/>
      <c r="O121" s="429"/>
      <c r="P121" s="430"/>
      <c r="Q121" s="430"/>
      <c r="R121" s="431"/>
      <c r="S121" s="431"/>
      <c r="T121" s="430"/>
      <c r="U121" s="432"/>
      <c r="V121" s="432"/>
      <c r="W121" s="432"/>
    </row>
    <row r="122" spans="1:23" ht="15" customHeight="1">
      <c r="A122" s="425"/>
      <c r="B122" s="357"/>
      <c r="C122" s="357"/>
      <c r="D122" s="357"/>
      <c r="E122" s="426"/>
      <c r="F122" s="426"/>
      <c r="G122" s="427"/>
      <c r="H122" s="427"/>
      <c r="I122" s="428"/>
      <c r="J122" s="428"/>
      <c r="K122" s="357"/>
      <c r="L122" s="357"/>
      <c r="M122" s="426"/>
      <c r="N122" s="426"/>
      <c r="O122" s="429"/>
      <c r="P122" s="430"/>
      <c r="Q122" s="430"/>
      <c r="R122" s="431"/>
      <c r="S122" s="431"/>
      <c r="T122" s="430"/>
      <c r="U122" s="432"/>
      <c r="V122" s="432"/>
      <c r="W122" s="432"/>
    </row>
    <row r="123" spans="1:23" ht="15" customHeight="1">
      <c r="A123" s="425"/>
      <c r="B123" s="357"/>
      <c r="C123" s="357"/>
      <c r="D123" s="357"/>
      <c r="E123" s="426"/>
      <c r="F123" s="426"/>
      <c r="G123" s="427"/>
      <c r="H123" s="427"/>
      <c r="I123" s="428"/>
      <c r="J123" s="428"/>
      <c r="K123" s="357"/>
      <c r="L123" s="357"/>
      <c r="M123" s="426"/>
      <c r="N123" s="426"/>
      <c r="O123" s="429"/>
      <c r="P123" s="430"/>
      <c r="Q123" s="430"/>
      <c r="R123" s="431"/>
      <c r="S123" s="431"/>
      <c r="T123" s="430"/>
      <c r="U123" s="432"/>
      <c r="V123" s="432"/>
      <c r="W123" s="432"/>
    </row>
    <row r="124" spans="1:23" ht="15" customHeight="1">
      <c r="A124" s="425"/>
      <c r="B124" s="357"/>
      <c r="C124" s="357"/>
      <c r="D124" s="357"/>
      <c r="E124" s="426"/>
      <c r="F124" s="426"/>
      <c r="G124" s="427"/>
      <c r="H124" s="427"/>
      <c r="I124" s="428"/>
      <c r="J124" s="428"/>
      <c r="K124" s="357"/>
      <c r="L124" s="357"/>
      <c r="M124" s="426"/>
      <c r="N124" s="426"/>
      <c r="O124" s="429"/>
      <c r="P124" s="430"/>
      <c r="Q124" s="430"/>
      <c r="R124" s="431"/>
      <c r="S124" s="431"/>
      <c r="T124" s="430"/>
      <c r="U124" s="432"/>
      <c r="V124" s="432"/>
      <c r="W124" s="432"/>
    </row>
    <row r="125" spans="1:23" ht="15" customHeight="1">
      <c r="A125" s="425"/>
      <c r="B125" s="357"/>
      <c r="C125" s="357"/>
      <c r="D125" s="357"/>
      <c r="E125" s="426"/>
      <c r="F125" s="426"/>
      <c r="G125" s="427"/>
      <c r="H125" s="427"/>
      <c r="I125" s="428"/>
      <c r="J125" s="428"/>
      <c r="K125" s="357"/>
      <c r="L125" s="357"/>
      <c r="M125" s="426"/>
      <c r="N125" s="426"/>
      <c r="O125" s="429"/>
      <c r="P125" s="430"/>
      <c r="Q125" s="430"/>
      <c r="R125" s="431"/>
      <c r="S125" s="431"/>
      <c r="T125" s="430"/>
      <c r="U125" s="432"/>
      <c r="V125" s="432"/>
      <c r="W125" s="432"/>
    </row>
    <row r="126" spans="1:23" ht="15" customHeight="1">
      <c r="A126" s="425"/>
      <c r="B126" s="357"/>
      <c r="C126" s="357"/>
      <c r="D126" s="357"/>
      <c r="E126" s="426"/>
      <c r="F126" s="426"/>
      <c r="G126" s="427"/>
      <c r="H126" s="427"/>
      <c r="I126" s="428"/>
      <c r="J126" s="428"/>
      <c r="K126" s="357"/>
      <c r="L126" s="357"/>
      <c r="M126" s="426"/>
      <c r="N126" s="426"/>
      <c r="O126" s="429"/>
      <c r="P126" s="430"/>
      <c r="Q126" s="430"/>
      <c r="R126" s="431"/>
      <c r="S126" s="431"/>
      <c r="T126" s="430"/>
      <c r="U126" s="432"/>
      <c r="V126" s="432"/>
      <c r="W126" s="432"/>
    </row>
    <row r="127" spans="1:23" ht="15" customHeight="1">
      <c r="A127" s="425"/>
      <c r="B127" s="357"/>
      <c r="C127" s="357"/>
      <c r="D127" s="357"/>
      <c r="E127" s="426"/>
      <c r="F127" s="426"/>
      <c r="G127" s="427"/>
      <c r="H127" s="427"/>
      <c r="I127" s="428"/>
      <c r="J127" s="428"/>
      <c r="K127" s="357"/>
      <c r="L127" s="357"/>
      <c r="M127" s="426"/>
      <c r="N127" s="426"/>
      <c r="O127" s="429"/>
      <c r="P127" s="430"/>
      <c r="Q127" s="430"/>
      <c r="R127" s="431"/>
      <c r="S127" s="431"/>
      <c r="T127" s="430"/>
      <c r="U127" s="432"/>
      <c r="V127" s="432"/>
      <c r="W127" s="432"/>
    </row>
    <row r="128" spans="1:23" ht="15" customHeight="1">
      <c r="A128" s="425"/>
      <c r="B128" s="357"/>
      <c r="C128" s="357"/>
      <c r="D128" s="357"/>
      <c r="E128" s="426"/>
      <c r="F128" s="426"/>
      <c r="G128" s="427"/>
      <c r="H128" s="427"/>
      <c r="I128" s="428"/>
      <c r="J128" s="428"/>
      <c r="K128" s="357"/>
      <c r="L128" s="357"/>
      <c r="M128" s="426"/>
      <c r="N128" s="426"/>
      <c r="O128" s="429"/>
      <c r="P128" s="430"/>
      <c r="Q128" s="430"/>
      <c r="R128" s="431"/>
      <c r="S128" s="431"/>
      <c r="T128" s="430"/>
      <c r="U128" s="432"/>
      <c r="V128" s="432"/>
      <c r="W128" s="432"/>
    </row>
    <row r="129" spans="1:23" ht="15" customHeight="1">
      <c r="A129" s="425"/>
      <c r="B129" s="357"/>
      <c r="C129" s="357"/>
      <c r="D129" s="357"/>
      <c r="E129" s="426"/>
      <c r="F129" s="426"/>
      <c r="G129" s="427"/>
      <c r="H129" s="427"/>
      <c r="I129" s="428"/>
      <c r="J129" s="428"/>
      <c r="K129" s="357"/>
      <c r="L129" s="357"/>
      <c r="M129" s="426"/>
      <c r="N129" s="426"/>
      <c r="O129" s="429"/>
      <c r="P129" s="430"/>
      <c r="Q129" s="430"/>
      <c r="R129" s="431"/>
      <c r="S129" s="431"/>
      <c r="T129" s="430"/>
      <c r="U129" s="432"/>
      <c r="V129" s="432"/>
      <c r="W129" s="432"/>
    </row>
    <row r="130" spans="1:23">
      <c r="A130" s="425"/>
      <c r="B130" s="357"/>
      <c r="C130" s="357"/>
      <c r="D130" s="357"/>
      <c r="E130" s="426"/>
      <c r="F130" s="426"/>
      <c r="G130" s="427"/>
      <c r="H130" s="427"/>
      <c r="I130" s="428"/>
      <c r="J130" s="428"/>
      <c r="K130" s="357"/>
      <c r="L130" s="357"/>
      <c r="M130" s="426"/>
      <c r="N130" s="426"/>
      <c r="O130" s="429"/>
      <c r="P130" s="430"/>
      <c r="Q130" s="430"/>
      <c r="R130" s="431"/>
      <c r="S130" s="431"/>
      <c r="T130" s="430"/>
      <c r="U130" s="432"/>
      <c r="V130" s="432"/>
      <c r="W130" s="432"/>
    </row>
    <row r="132" spans="1:23" ht="17.2" customHeight="1"/>
    <row r="147" spans="1:23">
      <c r="B147" s="895"/>
      <c r="F147" s="895"/>
      <c r="G147" s="895"/>
      <c r="H147" s="895"/>
      <c r="I147" s="895"/>
      <c r="J147" s="895"/>
      <c r="K147" s="895"/>
      <c r="M147" s="895"/>
      <c r="N147" s="895"/>
      <c r="O147" s="895"/>
      <c r="P147" s="895"/>
      <c r="R147" s="895"/>
    </row>
    <row r="148" spans="1:23" ht="15" customHeight="1">
      <c r="B148" s="895"/>
      <c r="F148" s="895"/>
      <c r="G148" s="895"/>
      <c r="H148" s="895"/>
      <c r="I148" s="895"/>
      <c r="J148" s="895"/>
      <c r="K148" s="895"/>
      <c r="M148" s="895"/>
      <c r="N148" s="895"/>
      <c r="O148" s="895"/>
      <c r="P148" s="895"/>
      <c r="R148" s="895"/>
    </row>
    <row r="149" spans="1:23" ht="15" customHeight="1">
      <c r="A149" s="433"/>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row>
    <row r="150" spans="1:23" ht="15" customHeight="1">
      <c r="A150" s="433"/>
      <c r="B150" s="434"/>
      <c r="C150" s="434"/>
      <c r="D150" s="434"/>
      <c r="E150" s="434"/>
      <c r="F150" s="434"/>
      <c r="G150" s="434"/>
      <c r="H150" s="434"/>
      <c r="I150" s="434"/>
      <c r="J150" s="434"/>
      <c r="K150" s="434"/>
      <c r="L150" s="434"/>
      <c r="M150" s="434"/>
      <c r="N150" s="434"/>
      <c r="O150" s="434"/>
      <c r="P150" s="434"/>
      <c r="Q150" s="434"/>
      <c r="R150" s="434"/>
      <c r="S150" s="434"/>
      <c r="T150" s="434"/>
      <c r="U150" s="434"/>
      <c r="V150" s="434"/>
      <c r="W150" s="434"/>
    </row>
    <row r="151" spans="1:23" ht="15" customHeight="1">
      <c r="A151" s="433"/>
      <c r="B151" s="434"/>
      <c r="C151" s="434"/>
      <c r="D151" s="434"/>
      <c r="E151" s="434"/>
      <c r="F151" s="434"/>
      <c r="G151" s="434"/>
      <c r="H151" s="434"/>
      <c r="I151" s="434"/>
      <c r="J151" s="434"/>
      <c r="K151" s="434"/>
      <c r="L151" s="434"/>
      <c r="M151" s="434"/>
      <c r="N151" s="434"/>
      <c r="O151" s="434"/>
      <c r="P151" s="434"/>
      <c r="Q151" s="434"/>
      <c r="R151" s="434"/>
      <c r="S151" s="434"/>
      <c r="T151" s="434"/>
      <c r="U151" s="434"/>
      <c r="V151" s="434"/>
      <c r="W151" s="434"/>
    </row>
    <row r="152" spans="1:23" ht="15" customHeight="1">
      <c r="A152" s="433"/>
      <c r="S152" s="434"/>
      <c r="T152" s="434"/>
      <c r="U152" s="434"/>
      <c r="V152" s="434"/>
      <c r="W152" s="434"/>
    </row>
    <row r="153" spans="1:23" ht="15" customHeight="1">
      <c r="A153" s="433"/>
      <c r="S153" s="434"/>
      <c r="T153" s="434"/>
      <c r="U153" s="434"/>
      <c r="V153" s="434"/>
      <c r="W153" s="434"/>
    </row>
    <row r="154" spans="1:23" ht="15" customHeight="1">
      <c r="A154" s="433"/>
      <c r="S154" s="434"/>
      <c r="T154" s="434"/>
      <c r="U154" s="434"/>
      <c r="V154" s="434"/>
      <c r="W154" s="434"/>
    </row>
    <row r="155" spans="1:23" ht="15" customHeight="1">
      <c r="A155" s="433"/>
      <c r="S155" s="434"/>
      <c r="T155" s="434"/>
      <c r="U155" s="434"/>
      <c r="V155" s="434"/>
      <c r="W155" s="434"/>
    </row>
    <row r="156" spans="1:23" ht="15" customHeight="1">
      <c r="A156" s="433"/>
      <c r="S156" s="434"/>
      <c r="T156" s="434"/>
      <c r="U156" s="434"/>
      <c r="V156" s="434"/>
      <c r="W156" s="434"/>
    </row>
    <row r="157" spans="1:23" ht="15" customHeight="1">
      <c r="A157" s="433"/>
      <c r="S157" s="434"/>
      <c r="T157" s="434"/>
      <c r="U157" s="434"/>
      <c r="V157" s="434"/>
      <c r="W157" s="434"/>
    </row>
    <row r="158" spans="1:23" ht="15" customHeight="1">
      <c r="A158" s="433"/>
      <c r="S158" s="434"/>
      <c r="T158" s="434"/>
      <c r="U158" s="434"/>
      <c r="V158" s="434"/>
      <c r="W158" s="434"/>
    </row>
    <row r="159" spans="1:23" ht="15" customHeight="1">
      <c r="A159" s="433"/>
      <c r="S159" s="434"/>
      <c r="T159" s="434"/>
      <c r="U159" s="434"/>
      <c r="V159" s="434"/>
      <c r="W159" s="434"/>
    </row>
    <row r="160" spans="1:23" ht="15" customHeight="1">
      <c r="A160" s="433"/>
      <c r="S160" s="434"/>
      <c r="T160" s="434"/>
      <c r="U160" s="434"/>
      <c r="V160" s="434"/>
      <c r="W160" s="434"/>
    </row>
    <row r="161" spans="1:23" ht="15" customHeight="1">
      <c r="A161" s="433"/>
      <c r="S161" s="434"/>
      <c r="T161" s="434"/>
      <c r="U161" s="434"/>
      <c r="V161" s="434"/>
      <c r="W161" s="434"/>
    </row>
    <row r="162" spans="1:23" ht="15" customHeight="1">
      <c r="A162" s="433"/>
      <c r="S162" s="434"/>
      <c r="T162" s="434"/>
      <c r="U162" s="434"/>
      <c r="V162" s="434"/>
      <c r="W162" s="434"/>
    </row>
    <row r="163" spans="1:23" ht="15" customHeight="1">
      <c r="A163" s="433"/>
      <c r="S163" s="434"/>
      <c r="T163" s="434"/>
      <c r="U163" s="434"/>
      <c r="V163" s="434"/>
      <c r="W163" s="434"/>
    </row>
    <row r="164" spans="1:23" ht="15" customHeight="1">
      <c r="A164" s="433"/>
      <c r="S164" s="434"/>
      <c r="T164" s="434"/>
      <c r="U164" s="434"/>
      <c r="V164" s="434"/>
      <c r="W164" s="434"/>
    </row>
    <row r="165" spans="1:23" ht="15" customHeight="1">
      <c r="A165" s="433"/>
      <c r="S165" s="434"/>
      <c r="T165" s="434"/>
      <c r="U165" s="434"/>
      <c r="V165" s="434"/>
      <c r="W165" s="434"/>
    </row>
    <row r="166" spans="1:23" ht="15" customHeight="1">
      <c r="A166" s="433"/>
      <c r="S166" s="434"/>
      <c r="T166" s="434"/>
      <c r="U166" s="434"/>
      <c r="V166" s="434"/>
      <c r="W166" s="434"/>
    </row>
    <row r="167" spans="1:23" ht="15" customHeight="1">
      <c r="A167" s="433"/>
      <c r="S167" s="434"/>
      <c r="T167" s="434"/>
      <c r="U167" s="434"/>
      <c r="V167" s="434"/>
      <c r="W167" s="434"/>
    </row>
    <row r="168" spans="1:23" ht="15" customHeight="1">
      <c r="A168" s="433"/>
      <c r="S168" s="434"/>
      <c r="T168" s="434"/>
      <c r="U168" s="434"/>
      <c r="V168" s="434"/>
      <c r="W168" s="434"/>
    </row>
    <row r="169" spans="1:23" ht="15" customHeight="1">
      <c r="A169" s="433"/>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row>
    <row r="170" spans="1:23" ht="15" customHeight="1">
      <c r="A170" s="433"/>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row>
    <row r="171" spans="1:23" ht="15" customHeight="1">
      <c r="A171" s="433"/>
      <c r="B171" s="434"/>
      <c r="C171" s="434"/>
      <c r="D171" s="434"/>
      <c r="E171" s="434"/>
      <c r="F171" s="434"/>
      <c r="G171" s="434"/>
      <c r="H171" s="434"/>
      <c r="I171" s="434"/>
      <c r="J171" s="434"/>
      <c r="K171" s="434"/>
      <c r="L171" s="434"/>
      <c r="M171" s="434"/>
      <c r="N171" s="434"/>
      <c r="O171" s="434"/>
      <c r="P171" s="434"/>
      <c r="Q171" s="434"/>
      <c r="R171" s="434"/>
      <c r="S171" s="434"/>
      <c r="T171" s="434"/>
      <c r="U171" s="434"/>
      <c r="V171" s="434"/>
      <c r="W171" s="434"/>
    </row>
    <row r="172" spans="1:23" ht="15" customHeight="1">
      <c r="A172" s="433"/>
      <c r="B172" s="434"/>
      <c r="C172" s="434"/>
      <c r="D172" s="434"/>
      <c r="E172" s="434"/>
      <c r="F172" s="434"/>
      <c r="G172" s="434"/>
      <c r="H172" s="434"/>
      <c r="I172" s="434"/>
      <c r="J172" s="434"/>
      <c r="K172" s="434"/>
      <c r="L172" s="434"/>
      <c r="M172" s="434"/>
      <c r="N172" s="434"/>
      <c r="O172" s="434"/>
      <c r="P172" s="434"/>
      <c r="Q172" s="434"/>
      <c r="R172" s="434"/>
      <c r="S172" s="434"/>
      <c r="T172" s="434"/>
      <c r="U172" s="434"/>
      <c r="V172" s="434"/>
      <c r="W172" s="434"/>
    </row>
    <row r="173" spans="1:23" ht="15" customHeight="1">
      <c r="A173" s="433"/>
      <c r="B173" s="434"/>
      <c r="C173" s="434"/>
      <c r="D173" s="434"/>
      <c r="E173" s="434"/>
      <c r="F173" s="434"/>
      <c r="G173" s="434"/>
      <c r="H173" s="434"/>
      <c r="I173" s="434"/>
      <c r="J173" s="434"/>
      <c r="K173" s="434"/>
      <c r="L173" s="434"/>
      <c r="M173" s="434"/>
      <c r="N173" s="434"/>
      <c r="O173" s="434"/>
      <c r="P173" s="434"/>
      <c r="Q173" s="434"/>
      <c r="R173" s="434"/>
      <c r="S173" s="434"/>
      <c r="T173" s="434"/>
      <c r="U173" s="434"/>
      <c r="V173" s="434"/>
      <c r="W173" s="434"/>
    </row>
    <row r="174" spans="1:23" ht="15" customHeight="1">
      <c r="A174" s="433"/>
      <c r="B174" s="434"/>
      <c r="C174" s="434"/>
      <c r="D174" s="434"/>
      <c r="E174" s="434"/>
      <c r="F174" s="434"/>
      <c r="G174" s="434"/>
      <c r="H174" s="434"/>
      <c r="I174" s="434"/>
      <c r="J174" s="434"/>
      <c r="K174" s="434"/>
      <c r="L174" s="434"/>
      <c r="M174" s="434"/>
      <c r="N174" s="434"/>
      <c r="O174" s="434"/>
      <c r="P174" s="434"/>
      <c r="Q174" s="434"/>
      <c r="R174" s="434"/>
      <c r="S174" s="434"/>
      <c r="T174" s="434"/>
      <c r="U174" s="434"/>
      <c r="V174" s="434"/>
      <c r="W174" s="434"/>
    </row>
    <row r="175" spans="1:23" ht="15" customHeight="1">
      <c r="A175" s="433"/>
      <c r="B175" s="434"/>
      <c r="C175" s="434"/>
      <c r="D175" s="434"/>
      <c r="E175" s="434"/>
      <c r="F175" s="434"/>
      <c r="G175" s="434"/>
      <c r="H175" s="434"/>
      <c r="I175" s="434"/>
      <c r="J175" s="434"/>
      <c r="K175" s="434"/>
      <c r="L175" s="434"/>
      <c r="M175" s="434"/>
      <c r="N175" s="434"/>
      <c r="O175" s="434"/>
      <c r="P175" s="434"/>
      <c r="Q175" s="434"/>
      <c r="R175" s="434"/>
      <c r="S175" s="434"/>
      <c r="T175" s="434"/>
      <c r="U175" s="434"/>
      <c r="V175" s="434"/>
      <c r="W175" s="434"/>
    </row>
    <row r="176" spans="1:23" ht="15" customHeight="1">
      <c r="A176" s="433"/>
      <c r="B176" s="434"/>
      <c r="C176" s="434"/>
      <c r="D176" s="434"/>
      <c r="E176" s="434"/>
      <c r="F176" s="434"/>
      <c r="G176" s="434"/>
      <c r="H176" s="434"/>
      <c r="I176" s="434"/>
      <c r="J176" s="434"/>
      <c r="K176" s="434"/>
      <c r="L176" s="434"/>
      <c r="M176" s="434"/>
      <c r="N176" s="434"/>
      <c r="O176" s="434"/>
      <c r="P176" s="434"/>
      <c r="Q176" s="434"/>
      <c r="R176" s="434"/>
      <c r="S176" s="434"/>
      <c r="T176" s="434"/>
      <c r="U176" s="434"/>
      <c r="V176" s="434"/>
      <c r="W176" s="434"/>
    </row>
    <row r="177" spans="1:23" ht="15" customHeight="1">
      <c r="A177" s="433"/>
      <c r="B177" s="434"/>
      <c r="C177" s="434"/>
      <c r="D177" s="434"/>
      <c r="E177" s="434"/>
      <c r="F177" s="434"/>
      <c r="G177" s="434"/>
      <c r="H177" s="434"/>
      <c r="I177" s="434"/>
      <c r="J177" s="434"/>
      <c r="K177" s="434"/>
      <c r="L177" s="434"/>
      <c r="M177" s="434"/>
      <c r="N177" s="434"/>
      <c r="O177" s="434"/>
      <c r="P177" s="434"/>
      <c r="Q177" s="434"/>
      <c r="R177" s="434"/>
      <c r="S177" s="434"/>
      <c r="T177" s="434"/>
      <c r="U177" s="434"/>
      <c r="V177" s="434"/>
      <c r="W177" s="434"/>
    </row>
    <row r="178" spans="1:23" ht="15" customHeight="1">
      <c r="A178" s="433"/>
      <c r="B178" s="434"/>
      <c r="C178" s="434"/>
      <c r="D178" s="434"/>
      <c r="E178" s="434"/>
      <c r="F178" s="434"/>
      <c r="G178" s="434"/>
      <c r="H178" s="434"/>
      <c r="I178" s="434"/>
      <c r="J178" s="434"/>
      <c r="K178" s="434"/>
      <c r="L178" s="434"/>
      <c r="M178" s="434"/>
      <c r="N178" s="434"/>
      <c r="O178" s="434"/>
      <c r="P178" s="434"/>
      <c r="Q178" s="434"/>
      <c r="R178" s="434"/>
      <c r="S178" s="434"/>
      <c r="T178" s="434"/>
      <c r="U178" s="434"/>
      <c r="V178" s="434"/>
      <c r="W178" s="434"/>
    </row>
    <row r="179" spans="1:23" ht="15" customHeight="1">
      <c r="A179" s="433"/>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row>
    <row r="180" spans="1:23" ht="15" customHeight="1">
      <c r="A180" s="433"/>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row>
    <row r="181" spans="1:23" ht="15" customHeight="1">
      <c r="A181" s="433"/>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row>
    <row r="182" spans="1:23" ht="15" customHeight="1">
      <c r="A182" s="433"/>
      <c r="B182" s="434"/>
      <c r="C182" s="434"/>
      <c r="D182" s="434"/>
      <c r="E182" s="434"/>
      <c r="F182" s="434"/>
      <c r="G182" s="434"/>
      <c r="H182" s="434"/>
      <c r="I182" s="434"/>
      <c r="J182" s="434"/>
      <c r="K182" s="434"/>
      <c r="L182" s="434"/>
      <c r="M182" s="434"/>
      <c r="N182" s="434"/>
      <c r="O182" s="434"/>
      <c r="P182" s="434"/>
      <c r="Q182" s="434"/>
      <c r="R182" s="434"/>
      <c r="S182" s="434"/>
      <c r="T182" s="434"/>
      <c r="U182" s="434"/>
      <c r="V182" s="434"/>
      <c r="W182" s="434"/>
    </row>
    <row r="183" spans="1:23" ht="15" customHeight="1">
      <c r="A183" s="433"/>
      <c r="B183" s="434"/>
      <c r="C183" s="434"/>
      <c r="D183" s="434"/>
      <c r="E183" s="434"/>
      <c r="F183" s="434"/>
      <c r="G183" s="434"/>
      <c r="H183" s="434"/>
      <c r="I183" s="434"/>
      <c r="J183" s="434"/>
      <c r="K183" s="434"/>
      <c r="L183" s="434"/>
      <c r="M183" s="434"/>
      <c r="N183" s="434"/>
      <c r="O183" s="434"/>
      <c r="P183" s="434"/>
      <c r="Q183" s="434"/>
      <c r="R183" s="434"/>
      <c r="S183" s="434"/>
      <c r="T183" s="434"/>
      <c r="U183" s="434"/>
      <c r="V183" s="434"/>
      <c r="W183" s="434"/>
    </row>
    <row r="184" spans="1:23" ht="15" customHeight="1">
      <c r="A184" s="433"/>
      <c r="B184" s="434"/>
      <c r="C184" s="434"/>
      <c r="D184" s="434"/>
      <c r="E184" s="434"/>
      <c r="F184" s="434"/>
      <c r="G184" s="434"/>
      <c r="H184" s="434"/>
      <c r="I184" s="434"/>
      <c r="J184" s="434"/>
      <c r="K184" s="434"/>
      <c r="L184" s="434"/>
      <c r="M184" s="434"/>
      <c r="N184" s="434"/>
      <c r="O184" s="434"/>
      <c r="P184" s="434"/>
      <c r="Q184" s="434"/>
      <c r="R184" s="434"/>
      <c r="S184" s="434"/>
      <c r="T184" s="434"/>
      <c r="U184" s="434"/>
      <c r="V184" s="434"/>
      <c r="W184" s="434"/>
    </row>
    <row r="185" spans="1:23" ht="15" customHeight="1">
      <c r="A185" s="433"/>
      <c r="B185" s="434"/>
      <c r="C185" s="434"/>
      <c r="D185" s="434"/>
      <c r="E185" s="434"/>
      <c r="F185" s="434"/>
      <c r="G185" s="434"/>
      <c r="H185" s="434"/>
      <c r="I185" s="434"/>
      <c r="J185" s="434"/>
      <c r="K185" s="434"/>
      <c r="L185" s="434"/>
      <c r="M185" s="434"/>
      <c r="N185" s="434"/>
      <c r="O185" s="434"/>
      <c r="P185" s="434"/>
      <c r="Q185" s="434"/>
      <c r="R185" s="434"/>
      <c r="S185" s="434"/>
      <c r="T185" s="434"/>
      <c r="U185" s="434"/>
      <c r="V185" s="434"/>
      <c r="W185" s="434"/>
    </row>
    <row r="186" spans="1:23" ht="15" customHeight="1">
      <c r="A186" s="433"/>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row>
    <row r="187" spans="1:23" ht="15" customHeight="1">
      <c r="A187" s="433"/>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row>
    <row r="188" spans="1:23" ht="15" customHeight="1">
      <c r="A188" s="433"/>
      <c r="B188" s="434"/>
      <c r="C188" s="434"/>
      <c r="D188" s="434"/>
      <c r="E188" s="434"/>
      <c r="F188" s="434"/>
      <c r="G188" s="434"/>
      <c r="H188" s="434"/>
      <c r="I188" s="434"/>
      <c r="J188" s="434"/>
      <c r="K188" s="434"/>
      <c r="L188" s="434"/>
      <c r="M188" s="434"/>
      <c r="N188" s="434"/>
      <c r="O188" s="434"/>
      <c r="P188" s="434"/>
      <c r="Q188" s="434"/>
      <c r="R188" s="434"/>
      <c r="S188" s="434"/>
      <c r="T188" s="434"/>
      <c r="U188" s="434"/>
      <c r="V188" s="434"/>
      <c r="W188" s="434"/>
    </row>
    <row r="189" spans="1:23" ht="15" customHeight="1">
      <c r="A189" s="433"/>
      <c r="B189" s="434"/>
      <c r="C189" s="434"/>
      <c r="D189" s="434"/>
      <c r="E189" s="434"/>
      <c r="F189" s="434"/>
      <c r="G189" s="434"/>
      <c r="H189" s="434"/>
      <c r="I189" s="434"/>
      <c r="J189" s="434"/>
      <c r="K189" s="434"/>
      <c r="L189" s="434"/>
      <c r="M189" s="434"/>
      <c r="N189" s="434"/>
      <c r="O189" s="434"/>
      <c r="P189" s="434"/>
      <c r="Q189" s="434"/>
      <c r="R189" s="434"/>
      <c r="S189" s="434"/>
      <c r="T189" s="434"/>
      <c r="U189" s="434"/>
      <c r="V189" s="434"/>
      <c r="W189" s="434"/>
    </row>
    <row r="190" spans="1:23" ht="15" customHeight="1">
      <c r="A190" s="433"/>
      <c r="B190" s="434"/>
      <c r="C190" s="434"/>
      <c r="D190" s="434"/>
      <c r="E190" s="434"/>
      <c r="F190" s="434"/>
      <c r="G190" s="434"/>
      <c r="H190" s="434"/>
      <c r="I190" s="434"/>
      <c r="J190" s="434"/>
      <c r="K190" s="434"/>
      <c r="L190" s="434"/>
      <c r="M190" s="434"/>
      <c r="N190" s="434"/>
      <c r="O190" s="434"/>
      <c r="P190" s="434"/>
      <c r="Q190" s="434"/>
      <c r="R190" s="434"/>
      <c r="S190" s="434"/>
      <c r="T190" s="434"/>
      <c r="U190" s="434"/>
      <c r="V190" s="434"/>
      <c r="W190" s="434"/>
    </row>
    <row r="191" spans="1:23" ht="15" customHeight="1">
      <c r="A191" s="433"/>
      <c r="B191" s="434"/>
      <c r="C191" s="434"/>
      <c r="D191" s="434"/>
      <c r="E191" s="434"/>
      <c r="F191" s="434"/>
      <c r="G191" s="434"/>
      <c r="H191" s="434"/>
      <c r="I191" s="434"/>
      <c r="J191" s="434"/>
      <c r="K191" s="434"/>
      <c r="L191" s="434"/>
      <c r="M191" s="434"/>
      <c r="N191" s="434"/>
      <c r="O191" s="434"/>
      <c r="P191" s="434"/>
      <c r="Q191" s="434"/>
      <c r="R191" s="434"/>
      <c r="S191" s="434"/>
      <c r="T191" s="434"/>
      <c r="U191" s="434"/>
      <c r="V191" s="434"/>
      <c r="W191" s="434"/>
    </row>
    <row r="192" spans="1:23" ht="15" customHeight="1">
      <c r="A192" s="433"/>
      <c r="B192" s="434"/>
      <c r="C192" s="434"/>
      <c r="D192" s="434"/>
      <c r="E192" s="434"/>
      <c r="F192" s="434"/>
      <c r="G192" s="434"/>
      <c r="H192" s="434"/>
      <c r="I192" s="434"/>
      <c r="J192" s="434"/>
      <c r="K192" s="434"/>
      <c r="L192" s="434"/>
      <c r="M192" s="434"/>
      <c r="N192" s="434"/>
      <c r="O192" s="434"/>
      <c r="P192" s="434"/>
      <c r="Q192" s="434"/>
      <c r="R192" s="434"/>
      <c r="S192" s="434"/>
      <c r="T192" s="434"/>
      <c r="U192" s="434"/>
      <c r="V192" s="434"/>
      <c r="W192" s="434"/>
    </row>
    <row r="193" spans="1:23" ht="15" customHeight="1">
      <c r="A193" s="433"/>
      <c r="B193" s="434"/>
      <c r="C193" s="434"/>
      <c r="D193" s="434"/>
      <c r="E193" s="434"/>
      <c r="F193" s="434"/>
      <c r="G193" s="434"/>
      <c r="H193" s="434"/>
      <c r="I193" s="434"/>
      <c r="J193" s="434"/>
      <c r="K193" s="434"/>
      <c r="L193" s="434"/>
      <c r="M193" s="434"/>
      <c r="N193" s="434"/>
      <c r="O193" s="434"/>
      <c r="P193" s="434"/>
      <c r="Q193" s="434"/>
      <c r="R193" s="434"/>
      <c r="S193" s="434"/>
      <c r="T193" s="434"/>
      <c r="U193" s="434"/>
      <c r="V193" s="434"/>
      <c r="W193" s="434"/>
    </row>
    <row r="194" spans="1:23" ht="15" customHeight="1">
      <c r="A194" s="433"/>
      <c r="B194" s="434"/>
      <c r="C194" s="434"/>
      <c r="D194" s="434"/>
      <c r="E194" s="434"/>
      <c r="F194" s="434"/>
      <c r="G194" s="434"/>
      <c r="H194" s="434"/>
      <c r="I194" s="434"/>
      <c r="J194" s="434"/>
      <c r="K194" s="434"/>
      <c r="L194" s="434"/>
      <c r="M194" s="434"/>
      <c r="N194" s="434"/>
      <c r="O194" s="434"/>
      <c r="P194" s="434"/>
      <c r="Q194" s="434"/>
      <c r="R194" s="434"/>
      <c r="S194" s="434"/>
      <c r="T194" s="434"/>
      <c r="U194" s="434"/>
      <c r="V194" s="434"/>
      <c r="W194" s="434"/>
    </row>
    <row r="195" spans="1:23" ht="15" customHeight="1">
      <c r="A195" s="433"/>
      <c r="B195" s="434"/>
      <c r="C195" s="434"/>
      <c r="D195" s="434"/>
      <c r="E195" s="434"/>
      <c r="F195" s="434"/>
      <c r="G195" s="434"/>
      <c r="H195" s="434"/>
      <c r="I195" s="434"/>
      <c r="J195" s="434"/>
      <c r="K195" s="434"/>
      <c r="L195" s="434"/>
      <c r="M195" s="434"/>
      <c r="N195" s="434"/>
      <c r="O195" s="434"/>
      <c r="P195" s="434"/>
      <c r="Q195" s="434"/>
      <c r="R195" s="434"/>
      <c r="S195" s="434"/>
      <c r="T195" s="434"/>
      <c r="U195" s="434"/>
      <c r="V195" s="434"/>
      <c r="W195" s="434"/>
    </row>
    <row r="196" spans="1:23" ht="15" customHeight="1">
      <c r="A196" s="433"/>
      <c r="B196" s="434"/>
      <c r="C196" s="434"/>
      <c r="D196" s="434"/>
      <c r="E196" s="434"/>
      <c r="F196" s="434"/>
      <c r="G196" s="434"/>
      <c r="H196" s="434"/>
      <c r="I196" s="434"/>
      <c r="J196" s="434"/>
      <c r="K196" s="434"/>
      <c r="L196" s="434"/>
      <c r="M196" s="434"/>
      <c r="N196" s="434"/>
      <c r="O196" s="434"/>
      <c r="P196" s="434"/>
      <c r="Q196" s="434"/>
      <c r="R196" s="434"/>
      <c r="S196" s="434"/>
      <c r="T196" s="434"/>
      <c r="U196" s="434"/>
      <c r="V196" s="434"/>
      <c r="W196" s="434"/>
    </row>
    <row r="197" spans="1:23" ht="15" customHeight="1">
      <c r="A197" s="433"/>
      <c r="B197" s="434"/>
      <c r="C197" s="434"/>
      <c r="D197" s="434"/>
      <c r="E197" s="434"/>
      <c r="F197" s="434"/>
      <c r="G197" s="434"/>
      <c r="H197" s="434"/>
      <c r="I197" s="434"/>
      <c r="J197" s="434"/>
      <c r="K197" s="434"/>
      <c r="L197" s="434"/>
      <c r="M197" s="434"/>
      <c r="N197" s="434"/>
      <c r="O197" s="434"/>
      <c r="P197" s="434"/>
      <c r="Q197" s="434"/>
      <c r="R197" s="434"/>
      <c r="S197" s="434"/>
      <c r="T197" s="434"/>
      <c r="U197" s="434"/>
      <c r="V197" s="434"/>
      <c r="W197" s="434"/>
    </row>
    <row r="198" spans="1:23" ht="15" customHeight="1">
      <c r="A198" s="433"/>
      <c r="B198" s="434"/>
      <c r="C198" s="434"/>
      <c r="D198" s="434"/>
      <c r="E198" s="434"/>
      <c r="F198" s="434"/>
      <c r="G198" s="434"/>
      <c r="H198" s="434"/>
      <c r="I198" s="434"/>
      <c r="J198" s="434"/>
      <c r="K198" s="434"/>
      <c r="L198" s="434"/>
      <c r="M198" s="434"/>
      <c r="N198" s="434"/>
      <c r="O198" s="434"/>
      <c r="P198" s="434"/>
      <c r="Q198" s="434"/>
      <c r="R198" s="434"/>
      <c r="S198" s="434"/>
      <c r="T198" s="434"/>
      <c r="U198" s="434"/>
      <c r="V198" s="434"/>
      <c r="W198" s="434"/>
    </row>
    <row r="199" spans="1:23" ht="15" customHeight="1">
      <c r="A199" s="433"/>
      <c r="B199" s="434"/>
      <c r="C199" s="434"/>
      <c r="D199" s="434"/>
      <c r="E199" s="434"/>
      <c r="F199" s="434"/>
      <c r="G199" s="434"/>
      <c r="H199" s="434"/>
      <c r="I199" s="434"/>
      <c r="J199" s="434"/>
      <c r="K199" s="434"/>
      <c r="L199" s="434"/>
      <c r="M199" s="434"/>
      <c r="N199" s="434"/>
      <c r="O199" s="434"/>
      <c r="P199" s="434"/>
      <c r="Q199" s="434"/>
      <c r="R199" s="434"/>
      <c r="S199" s="434"/>
      <c r="T199" s="434"/>
      <c r="U199" s="434"/>
      <c r="V199" s="434"/>
      <c r="W199" s="434"/>
    </row>
    <row r="200" spans="1:23" ht="15" customHeight="1">
      <c r="A200" s="433"/>
      <c r="B200" s="434"/>
      <c r="C200" s="434"/>
      <c r="D200" s="434"/>
      <c r="E200" s="434"/>
      <c r="F200" s="434"/>
      <c r="G200" s="434"/>
      <c r="H200" s="434"/>
      <c r="I200" s="434"/>
      <c r="J200" s="434"/>
      <c r="K200" s="434"/>
      <c r="L200" s="434"/>
      <c r="M200" s="434"/>
      <c r="N200" s="434"/>
      <c r="O200" s="434"/>
      <c r="P200" s="434"/>
      <c r="Q200" s="434"/>
      <c r="R200" s="434"/>
      <c r="S200" s="434"/>
      <c r="T200" s="434"/>
      <c r="U200" s="434"/>
      <c r="V200" s="434"/>
      <c r="W200" s="434"/>
    </row>
    <row r="201" spans="1:23" ht="15" customHeight="1">
      <c r="A201" s="433"/>
      <c r="B201" s="434"/>
      <c r="C201" s="434"/>
      <c r="D201" s="434"/>
      <c r="E201" s="434"/>
      <c r="F201" s="434"/>
      <c r="G201" s="434"/>
      <c r="H201" s="434"/>
      <c r="I201" s="434"/>
      <c r="J201" s="434"/>
      <c r="K201" s="434"/>
      <c r="L201" s="434"/>
      <c r="M201" s="434"/>
      <c r="N201" s="434"/>
      <c r="O201" s="434"/>
      <c r="P201" s="434"/>
      <c r="Q201" s="434"/>
      <c r="R201" s="434"/>
      <c r="S201" s="434"/>
      <c r="T201" s="434"/>
      <c r="U201" s="434"/>
      <c r="V201" s="434"/>
      <c r="W201" s="434"/>
    </row>
    <row r="202" spans="1:23" ht="15" customHeight="1">
      <c r="A202" s="433"/>
      <c r="B202" s="434"/>
      <c r="C202" s="434"/>
      <c r="D202" s="434"/>
      <c r="E202" s="434"/>
      <c r="F202" s="434"/>
      <c r="G202" s="434"/>
      <c r="H202" s="434"/>
      <c r="I202" s="434"/>
      <c r="J202" s="434"/>
      <c r="K202" s="434"/>
      <c r="L202" s="434"/>
      <c r="M202" s="434"/>
      <c r="N202" s="434"/>
      <c r="O202" s="434"/>
      <c r="P202" s="434"/>
      <c r="Q202" s="434"/>
      <c r="R202" s="434"/>
      <c r="S202" s="434"/>
      <c r="T202" s="434"/>
      <c r="U202" s="434"/>
      <c r="V202" s="434"/>
      <c r="W202" s="434"/>
    </row>
    <row r="203" spans="1:23" ht="15" customHeight="1">
      <c r="A203" s="433"/>
      <c r="B203" s="434"/>
      <c r="C203" s="434"/>
      <c r="D203" s="434"/>
      <c r="E203" s="434"/>
      <c r="F203" s="434"/>
      <c r="G203" s="434"/>
      <c r="H203" s="434"/>
      <c r="I203" s="434"/>
      <c r="J203" s="434"/>
      <c r="K203" s="434"/>
      <c r="L203" s="434"/>
      <c r="M203" s="434"/>
      <c r="N203" s="434"/>
      <c r="O203" s="434"/>
      <c r="P203" s="434"/>
      <c r="Q203" s="434"/>
      <c r="R203" s="434"/>
      <c r="S203" s="434"/>
      <c r="T203" s="434"/>
      <c r="U203" s="434"/>
      <c r="V203" s="434"/>
      <c r="W203" s="434"/>
    </row>
    <row r="204" spans="1:23" ht="15" customHeight="1">
      <c r="A204" s="433"/>
      <c r="B204" s="434"/>
      <c r="C204" s="434"/>
      <c r="D204" s="434"/>
      <c r="E204" s="434"/>
      <c r="F204" s="434"/>
      <c r="G204" s="434"/>
      <c r="H204" s="434"/>
      <c r="I204" s="434"/>
      <c r="J204" s="434"/>
      <c r="K204" s="434"/>
      <c r="L204" s="434"/>
      <c r="M204" s="434"/>
      <c r="N204" s="434"/>
      <c r="O204" s="434"/>
      <c r="P204" s="434"/>
      <c r="Q204" s="434"/>
      <c r="R204" s="434"/>
      <c r="S204" s="434"/>
      <c r="T204" s="434"/>
      <c r="U204" s="434"/>
      <c r="V204" s="434"/>
      <c r="W204" s="434"/>
    </row>
    <row r="205" spans="1:23" ht="15" customHeight="1">
      <c r="A205" s="433"/>
      <c r="B205" s="434"/>
      <c r="C205" s="434"/>
      <c r="D205" s="434"/>
      <c r="E205" s="434"/>
      <c r="F205" s="434"/>
      <c r="G205" s="434"/>
      <c r="H205" s="434"/>
      <c r="I205" s="434"/>
      <c r="J205" s="434"/>
      <c r="K205" s="434"/>
      <c r="L205" s="434"/>
      <c r="M205" s="434"/>
      <c r="N205" s="434"/>
      <c r="O205" s="434"/>
      <c r="P205" s="434"/>
      <c r="Q205" s="434"/>
      <c r="R205" s="434"/>
      <c r="S205" s="434"/>
      <c r="T205" s="434"/>
      <c r="U205" s="434"/>
      <c r="V205" s="434"/>
      <c r="W205" s="434"/>
    </row>
    <row r="206" spans="1:23" ht="15" customHeight="1">
      <c r="A206" s="433"/>
      <c r="B206" s="434"/>
      <c r="C206" s="434"/>
      <c r="D206" s="434"/>
      <c r="E206" s="434"/>
      <c r="F206" s="434"/>
      <c r="G206" s="434"/>
      <c r="H206" s="434"/>
      <c r="I206" s="434"/>
      <c r="J206" s="434"/>
      <c r="K206" s="434"/>
      <c r="L206" s="434"/>
      <c r="M206" s="434"/>
      <c r="N206" s="434"/>
      <c r="O206" s="434"/>
      <c r="P206" s="434"/>
      <c r="Q206" s="434"/>
      <c r="R206" s="434"/>
      <c r="S206" s="434"/>
      <c r="T206" s="434"/>
      <c r="U206" s="434"/>
      <c r="V206" s="434"/>
      <c r="W206" s="434"/>
    </row>
    <row r="207" spans="1:23" ht="15" customHeight="1">
      <c r="A207" s="433"/>
      <c r="B207" s="434"/>
      <c r="C207" s="434"/>
      <c r="D207" s="434"/>
      <c r="E207" s="434"/>
      <c r="F207" s="434"/>
      <c r="G207" s="434"/>
      <c r="H207" s="434"/>
      <c r="I207" s="434"/>
      <c r="J207" s="434"/>
      <c r="K207" s="434"/>
      <c r="L207" s="434"/>
      <c r="M207" s="434"/>
      <c r="N207" s="434"/>
      <c r="O207" s="434"/>
      <c r="P207" s="434"/>
      <c r="Q207" s="434"/>
      <c r="R207" s="434"/>
      <c r="S207" s="434"/>
      <c r="T207" s="434"/>
      <c r="U207" s="434"/>
      <c r="V207" s="434"/>
      <c r="W207" s="434"/>
    </row>
    <row r="208" spans="1:23" ht="15" customHeight="1">
      <c r="A208" s="433"/>
      <c r="B208" s="434"/>
      <c r="C208" s="434"/>
      <c r="D208" s="434"/>
      <c r="E208" s="434"/>
      <c r="F208" s="434"/>
      <c r="G208" s="434"/>
      <c r="H208" s="434"/>
      <c r="I208" s="434"/>
      <c r="J208" s="434"/>
      <c r="K208" s="434"/>
      <c r="L208" s="434"/>
      <c r="M208" s="434"/>
      <c r="N208" s="434"/>
      <c r="O208" s="434"/>
      <c r="P208" s="434"/>
      <c r="Q208" s="434"/>
      <c r="R208" s="434"/>
      <c r="S208" s="434"/>
      <c r="T208" s="434"/>
      <c r="U208" s="434"/>
      <c r="V208" s="434"/>
      <c r="W208" s="434"/>
    </row>
    <row r="209" spans="1:23" ht="15" customHeight="1">
      <c r="A209" s="433"/>
      <c r="B209" s="434"/>
      <c r="C209" s="434"/>
      <c r="D209" s="434"/>
      <c r="E209" s="434"/>
      <c r="F209" s="434"/>
      <c r="G209" s="434"/>
      <c r="H209" s="434"/>
      <c r="I209" s="434"/>
      <c r="J209" s="434"/>
      <c r="K209" s="434"/>
      <c r="L209" s="434"/>
      <c r="M209" s="434"/>
      <c r="N209" s="434"/>
      <c r="O209" s="434"/>
      <c r="P209" s="434"/>
      <c r="Q209" s="434"/>
      <c r="R209" s="434"/>
      <c r="S209" s="434"/>
      <c r="T209" s="434"/>
      <c r="U209" s="434"/>
      <c r="V209" s="434"/>
      <c r="W209" s="434"/>
    </row>
    <row r="210" spans="1:23" ht="15" customHeight="1">
      <c r="A210" s="433"/>
      <c r="B210" s="434"/>
      <c r="C210" s="434"/>
      <c r="D210" s="434"/>
      <c r="E210" s="434"/>
      <c r="F210" s="434"/>
      <c r="G210" s="434"/>
      <c r="H210" s="434"/>
      <c r="I210" s="434"/>
      <c r="J210" s="434"/>
      <c r="K210" s="434"/>
      <c r="L210" s="434"/>
      <c r="M210" s="434"/>
      <c r="N210" s="434"/>
      <c r="O210" s="434"/>
      <c r="P210" s="434"/>
      <c r="Q210" s="434"/>
      <c r="R210" s="434"/>
      <c r="S210" s="434"/>
      <c r="T210" s="434"/>
      <c r="U210" s="434"/>
      <c r="V210" s="434"/>
      <c r="W210" s="434"/>
    </row>
    <row r="211" spans="1:23" ht="15" customHeight="1">
      <c r="A211" s="433"/>
      <c r="B211" s="434"/>
      <c r="C211" s="434"/>
      <c r="D211" s="434"/>
      <c r="E211" s="434"/>
      <c r="F211" s="434"/>
      <c r="G211" s="434"/>
      <c r="H211" s="434"/>
      <c r="I211" s="434"/>
      <c r="J211" s="434"/>
      <c r="K211" s="434"/>
      <c r="L211" s="434"/>
      <c r="M211" s="434"/>
      <c r="N211" s="434"/>
      <c r="O211" s="434"/>
      <c r="P211" s="434"/>
      <c r="Q211" s="434"/>
      <c r="R211" s="434"/>
      <c r="S211" s="434"/>
      <c r="T211" s="434"/>
      <c r="U211" s="434"/>
      <c r="V211" s="434"/>
      <c r="W211" s="434"/>
    </row>
    <row r="212" spans="1:23" ht="15" customHeight="1">
      <c r="A212" s="433"/>
      <c r="B212" s="434"/>
      <c r="C212" s="434"/>
      <c r="D212" s="434"/>
      <c r="E212" s="434"/>
      <c r="F212" s="434"/>
      <c r="G212" s="434"/>
      <c r="H212" s="434"/>
      <c r="I212" s="434"/>
      <c r="J212" s="434"/>
      <c r="K212" s="434"/>
      <c r="L212" s="434"/>
      <c r="M212" s="434"/>
      <c r="N212" s="434"/>
      <c r="O212" s="434"/>
      <c r="P212" s="434"/>
      <c r="Q212" s="434"/>
      <c r="R212" s="434"/>
      <c r="S212" s="434"/>
      <c r="T212" s="434"/>
      <c r="U212" s="434"/>
      <c r="V212" s="434"/>
      <c r="W212" s="434"/>
    </row>
    <row r="213" spans="1:23" ht="15" customHeight="1">
      <c r="A213" s="433"/>
      <c r="B213" s="434"/>
      <c r="C213" s="434"/>
      <c r="D213" s="434"/>
      <c r="E213" s="434"/>
      <c r="F213" s="434"/>
      <c r="G213" s="434"/>
      <c r="H213" s="434"/>
      <c r="I213" s="434"/>
      <c r="J213" s="434"/>
      <c r="K213" s="434"/>
      <c r="L213" s="434"/>
      <c r="M213" s="434"/>
      <c r="N213" s="434"/>
      <c r="O213" s="434"/>
      <c r="P213" s="434"/>
      <c r="Q213" s="434"/>
      <c r="R213" s="434"/>
      <c r="S213" s="434"/>
      <c r="T213" s="434"/>
      <c r="U213" s="434"/>
      <c r="V213" s="434"/>
      <c r="W213" s="434"/>
    </row>
    <row r="214" spans="1:23" ht="15" customHeight="1">
      <c r="A214" s="433"/>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row>
    <row r="215" spans="1:23" ht="15" customHeight="1">
      <c r="A215" s="433"/>
      <c r="B215" s="434"/>
      <c r="C215" s="434"/>
      <c r="D215" s="434"/>
      <c r="E215" s="434"/>
      <c r="F215" s="434"/>
      <c r="G215" s="434"/>
      <c r="H215" s="434"/>
      <c r="I215" s="434"/>
      <c r="J215" s="434"/>
      <c r="K215" s="434"/>
      <c r="L215" s="434"/>
      <c r="M215" s="434"/>
      <c r="N215" s="434"/>
      <c r="O215" s="434"/>
      <c r="P215" s="434"/>
      <c r="Q215" s="434"/>
      <c r="R215" s="434"/>
      <c r="S215" s="434"/>
      <c r="T215" s="434"/>
      <c r="U215" s="434"/>
      <c r="V215" s="434"/>
      <c r="W215" s="434"/>
    </row>
    <row r="216" spans="1:23" ht="15" customHeight="1">
      <c r="A216" s="433"/>
      <c r="B216" s="434"/>
      <c r="C216" s="434"/>
      <c r="D216" s="434"/>
      <c r="E216" s="434"/>
      <c r="F216" s="434"/>
      <c r="G216" s="434"/>
      <c r="H216" s="434"/>
      <c r="I216" s="434"/>
      <c r="J216" s="434"/>
      <c r="K216" s="434"/>
      <c r="L216" s="434"/>
      <c r="M216" s="434"/>
      <c r="N216" s="434"/>
      <c r="O216" s="434"/>
      <c r="P216" s="434"/>
      <c r="Q216" s="434"/>
      <c r="R216" s="434"/>
      <c r="S216" s="434"/>
      <c r="T216" s="434"/>
      <c r="U216" s="434"/>
      <c r="V216" s="434"/>
      <c r="W216" s="434"/>
    </row>
    <row r="217" spans="1:23" ht="15" customHeight="1">
      <c r="A217" s="433"/>
      <c r="B217" s="434"/>
      <c r="C217" s="434"/>
      <c r="D217" s="434"/>
      <c r="E217" s="434"/>
      <c r="F217" s="434"/>
      <c r="G217" s="434"/>
      <c r="H217" s="434"/>
      <c r="I217" s="434"/>
      <c r="J217" s="434"/>
      <c r="K217" s="434"/>
      <c r="L217" s="434"/>
      <c r="M217" s="434"/>
      <c r="N217" s="434"/>
      <c r="O217" s="434"/>
      <c r="P217" s="434"/>
      <c r="Q217" s="434"/>
      <c r="R217" s="434"/>
      <c r="S217" s="434"/>
      <c r="T217" s="434"/>
      <c r="U217" s="434"/>
      <c r="V217" s="434"/>
      <c r="W217" s="434"/>
    </row>
    <row r="218" spans="1:23" ht="15" customHeight="1">
      <c r="A218" s="433"/>
      <c r="B218" s="434"/>
      <c r="C218" s="434"/>
      <c r="D218" s="434"/>
      <c r="E218" s="434"/>
      <c r="F218" s="434"/>
      <c r="G218" s="434"/>
      <c r="H218" s="434"/>
      <c r="I218" s="434"/>
      <c r="J218" s="434"/>
      <c r="K218" s="434"/>
      <c r="L218" s="434"/>
      <c r="M218" s="434"/>
      <c r="N218" s="434"/>
      <c r="O218" s="434"/>
      <c r="P218" s="434"/>
      <c r="Q218" s="434"/>
      <c r="R218" s="434"/>
      <c r="S218" s="434"/>
      <c r="T218" s="434"/>
      <c r="U218" s="434"/>
      <c r="V218" s="434"/>
      <c r="W218" s="434"/>
    </row>
    <row r="219" spans="1:23" ht="15" customHeight="1">
      <c r="A219" s="433"/>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row>
    <row r="220" spans="1:23" ht="15" customHeight="1">
      <c r="A220" s="433"/>
      <c r="B220" s="434"/>
      <c r="C220" s="434"/>
      <c r="D220" s="434"/>
      <c r="E220" s="434"/>
      <c r="F220" s="434"/>
      <c r="G220" s="434"/>
      <c r="H220" s="434"/>
      <c r="I220" s="434"/>
      <c r="J220" s="434"/>
      <c r="K220" s="434"/>
      <c r="L220" s="434"/>
      <c r="M220" s="434"/>
      <c r="N220" s="434"/>
      <c r="O220" s="434"/>
      <c r="P220" s="434"/>
      <c r="Q220" s="434"/>
      <c r="R220" s="434"/>
      <c r="S220" s="434"/>
      <c r="T220" s="434"/>
      <c r="U220" s="434"/>
      <c r="V220" s="434"/>
      <c r="W220" s="434"/>
    </row>
    <row r="221" spans="1:23" ht="15" customHeight="1">
      <c r="A221" s="433"/>
      <c r="B221" s="434"/>
      <c r="C221" s="434"/>
      <c r="D221" s="434"/>
      <c r="E221" s="434"/>
      <c r="F221" s="434"/>
      <c r="G221" s="434"/>
      <c r="H221" s="434"/>
      <c r="I221" s="434"/>
      <c r="J221" s="434"/>
      <c r="K221" s="434"/>
      <c r="L221" s="434"/>
      <c r="M221" s="434"/>
      <c r="N221" s="434"/>
      <c r="O221" s="434"/>
      <c r="P221" s="434"/>
      <c r="Q221" s="434"/>
      <c r="R221" s="434"/>
      <c r="S221" s="434"/>
      <c r="T221" s="434"/>
      <c r="U221" s="434"/>
      <c r="V221" s="434"/>
      <c r="W221" s="434"/>
    </row>
    <row r="222" spans="1:23" ht="15" customHeight="1">
      <c r="A222" s="433"/>
      <c r="B222" s="434"/>
      <c r="C222" s="434"/>
      <c r="D222" s="434"/>
      <c r="E222" s="434"/>
      <c r="F222" s="434"/>
      <c r="G222" s="434"/>
      <c r="H222" s="434"/>
      <c r="I222" s="434"/>
      <c r="J222" s="434"/>
      <c r="K222" s="434"/>
      <c r="L222" s="434"/>
      <c r="M222" s="434"/>
      <c r="N222" s="434"/>
      <c r="O222" s="434"/>
      <c r="P222" s="434"/>
      <c r="Q222" s="434"/>
      <c r="R222" s="434"/>
      <c r="S222" s="434"/>
      <c r="T222" s="434"/>
      <c r="U222" s="434"/>
      <c r="V222" s="434"/>
      <c r="W222" s="434"/>
    </row>
    <row r="223" spans="1:23" ht="15" customHeight="1">
      <c r="A223" s="433"/>
      <c r="B223" s="434"/>
      <c r="C223" s="434"/>
      <c r="D223" s="434"/>
      <c r="E223" s="434"/>
      <c r="F223" s="434"/>
      <c r="G223" s="434"/>
      <c r="H223" s="434"/>
      <c r="I223" s="434"/>
      <c r="J223" s="434"/>
      <c r="K223" s="434"/>
      <c r="L223" s="434"/>
      <c r="M223" s="434"/>
      <c r="N223" s="434"/>
      <c r="O223" s="434"/>
      <c r="P223" s="434"/>
      <c r="Q223" s="434"/>
      <c r="R223" s="434"/>
      <c r="S223" s="434"/>
      <c r="T223" s="434"/>
      <c r="U223" s="434"/>
      <c r="V223" s="434"/>
      <c r="W223" s="434"/>
    </row>
    <row r="224" spans="1:23" ht="15" customHeight="1">
      <c r="A224" s="433"/>
      <c r="B224" s="434"/>
      <c r="C224" s="434"/>
      <c r="D224" s="434"/>
      <c r="E224" s="434"/>
      <c r="F224" s="434"/>
      <c r="G224" s="434"/>
      <c r="H224" s="434"/>
      <c r="I224" s="434"/>
      <c r="J224" s="434"/>
      <c r="K224" s="434"/>
      <c r="L224" s="434"/>
      <c r="M224" s="434"/>
      <c r="N224" s="434"/>
      <c r="O224" s="434"/>
      <c r="P224" s="434"/>
      <c r="Q224" s="434"/>
      <c r="R224" s="434"/>
      <c r="S224" s="434"/>
      <c r="T224" s="434"/>
      <c r="U224" s="434"/>
      <c r="V224" s="434"/>
      <c r="W224" s="434"/>
    </row>
    <row r="225" spans="1:23" ht="15" customHeight="1">
      <c r="A225" s="433"/>
      <c r="B225" s="434"/>
      <c r="C225" s="434"/>
      <c r="D225" s="434"/>
      <c r="E225" s="434"/>
      <c r="F225" s="434"/>
      <c r="G225" s="434"/>
      <c r="H225" s="434"/>
      <c r="I225" s="434"/>
      <c r="J225" s="434"/>
      <c r="K225" s="434"/>
      <c r="L225" s="434"/>
      <c r="M225" s="434"/>
      <c r="N225" s="434"/>
      <c r="O225" s="434"/>
      <c r="P225" s="434"/>
      <c r="Q225" s="434"/>
      <c r="R225" s="434"/>
      <c r="S225" s="434"/>
      <c r="T225" s="434"/>
      <c r="U225" s="434"/>
      <c r="V225" s="434"/>
      <c r="W225" s="434"/>
    </row>
    <row r="226" spans="1:23" ht="15" customHeight="1">
      <c r="A226" s="433"/>
      <c r="B226" s="434"/>
      <c r="C226" s="434"/>
      <c r="D226" s="434"/>
      <c r="E226" s="434"/>
      <c r="F226" s="434"/>
      <c r="G226" s="434"/>
      <c r="H226" s="434"/>
      <c r="I226" s="434"/>
      <c r="J226" s="434"/>
      <c r="K226" s="434"/>
      <c r="L226" s="434"/>
      <c r="M226" s="434"/>
      <c r="N226" s="434"/>
      <c r="O226" s="434"/>
      <c r="P226" s="434"/>
      <c r="Q226" s="434"/>
      <c r="R226" s="434"/>
      <c r="S226" s="434"/>
      <c r="T226" s="434"/>
      <c r="U226" s="434"/>
      <c r="V226" s="434"/>
      <c r="W226" s="434"/>
    </row>
    <row r="227" spans="1:23" ht="15" customHeight="1">
      <c r="A227" s="433"/>
      <c r="B227" s="434"/>
      <c r="C227" s="434"/>
      <c r="D227" s="434"/>
      <c r="E227" s="434"/>
      <c r="F227" s="434"/>
      <c r="G227" s="434"/>
      <c r="H227" s="434"/>
      <c r="I227" s="434"/>
      <c r="J227" s="434"/>
      <c r="K227" s="434"/>
      <c r="L227" s="434"/>
      <c r="M227" s="434"/>
      <c r="N227" s="434"/>
      <c r="O227" s="434"/>
      <c r="P227" s="434"/>
      <c r="Q227" s="434"/>
      <c r="R227" s="434"/>
      <c r="S227" s="434"/>
      <c r="T227" s="434"/>
      <c r="U227" s="434"/>
      <c r="V227" s="434"/>
      <c r="W227" s="434"/>
    </row>
    <row r="228" spans="1:23" ht="15" customHeight="1">
      <c r="A228" s="433"/>
      <c r="B228" s="434"/>
      <c r="C228" s="434"/>
      <c r="D228" s="434"/>
      <c r="E228" s="434"/>
      <c r="F228" s="434"/>
      <c r="G228" s="434"/>
      <c r="H228" s="434"/>
      <c r="I228" s="434"/>
      <c r="J228" s="434"/>
      <c r="K228" s="434"/>
      <c r="L228" s="434"/>
      <c r="M228" s="434"/>
      <c r="N228" s="434"/>
      <c r="O228" s="434"/>
      <c r="P228" s="434"/>
      <c r="Q228" s="434"/>
      <c r="R228" s="434"/>
      <c r="S228" s="434"/>
      <c r="T228" s="434"/>
      <c r="U228" s="434"/>
      <c r="V228" s="434"/>
      <c r="W228" s="434"/>
    </row>
    <row r="229" spans="1:23">
      <c r="A229" s="433"/>
      <c r="B229" s="434"/>
      <c r="C229" s="434"/>
      <c r="D229" s="434"/>
      <c r="E229" s="434"/>
      <c r="F229" s="434"/>
      <c r="G229" s="434"/>
      <c r="H229" s="434"/>
      <c r="I229" s="434"/>
      <c r="J229" s="434"/>
      <c r="K229" s="434"/>
      <c r="L229" s="434"/>
      <c r="M229" s="434"/>
      <c r="N229" s="434"/>
      <c r="O229" s="434"/>
      <c r="P229" s="434"/>
      <c r="Q229" s="434"/>
      <c r="R229" s="434"/>
      <c r="S229" s="434"/>
      <c r="T229" s="434"/>
      <c r="U229" s="434"/>
      <c r="V229" s="434"/>
      <c r="W229" s="434"/>
    </row>
    <row r="230" spans="1:23">
      <c r="A230" s="433"/>
      <c r="B230" s="434"/>
      <c r="C230" s="434"/>
      <c r="D230" s="434"/>
      <c r="E230" s="434"/>
      <c r="F230" s="434"/>
      <c r="G230" s="434"/>
      <c r="H230" s="434"/>
      <c r="I230" s="434"/>
      <c r="J230" s="434"/>
      <c r="K230" s="434"/>
      <c r="L230" s="434"/>
      <c r="M230" s="434"/>
      <c r="N230" s="434"/>
      <c r="O230" s="434"/>
      <c r="P230" s="434"/>
      <c r="Q230" s="434"/>
      <c r="R230" s="434"/>
      <c r="S230" s="434"/>
      <c r="T230" s="434"/>
      <c r="U230" s="434"/>
      <c r="V230" s="434"/>
      <c r="W230" s="434"/>
    </row>
    <row r="231" spans="1:23">
      <c r="A231" s="425"/>
      <c r="B231" s="357"/>
      <c r="C231" s="357"/>
      <c r="D231" s="357"/>
      <c r="E231" s="426"/>
      <c r="F231" s="426"/>
      <c r="G231" s="427"/>
      <c r="H231" s="427"/>
      <c r="I231" s="428"/>
      <c r="J231" s="428"/>
      <c r="K231" s="357"/>
      <c r="L231" s="357"/>
      <c r="M231" s="426"/>
      <c r="N231" s="426"/>
      <c r="O231" s="429"/>
      <c r="P231" s="430"/>
      <c r="Q231" s="430"/>
      <c r="R231" s="430"/>
      <c r="S231" s="430"/>
      <c r="T231" s="430"/>
      <c r="U231" s="432"/>
      <c r="V231" s="432"/>
      <c r="W231" s="432"/>
    </row>
    <row r="232" spans="1:23">
      <c r="A232" s="425"/>
      <c r="B232" s="357"/>
      <c r="C232" s="357"/>
      <c r="D232" s="357"/>
      <c r="E232" s="426"/>
      <c r="F232" s="426"/>
      <c r="G232" s="427"/>
      <c r="H232" s="427"/>
      <c r="I232" s="428"/>
      <c r="J232" s="428"/>
      <c r="K232" s="357"/>
      <c r="L232" s="357"/>
      <c r="M232" s="426"/>
      <c r="N232" s="426"/>
      <c r="O232" s="429"/>
      <c r="P232" s="430"/>
      <c r="Q232" s="430"/>
      <c r="R232" s="430"/>
      <c r="S232" s="430"/>
      <c r="T232" s="430"/>
      <c r="U232" s="432"/>
      <c r="V232" s="432"/>
      <c r="W232" s="432"/>
    </row>
    <row r="233" spans="1:23">
      <c r="A233" s="425"/>
      <c r="B233" s="357"/>
      <c r="C233" s="357"/>
      <c r="D233" s="357"/>
      <c r="E233" s="426"/>
      <c r="F233" s="426"/>
      <c r="G233" s="427"/>
      <c r="H233" s="427"/>
      <c r="I233" s="428"/>
      <c r="J233" s="428"/>
      <c r="K233" s="357"/>
      <c r="L233" s="357"/>
      <c r="M233" s="426"/>
      <c r="N233" s="426"/>
      <c r="O233" s="429"/>
      <c r="P233" s="430"/>
      <c r="Q233" s="430"/>
      <c r="R233" s="430"/>
      <c r="S233" s="430"/>
      <c r="T233" s="430"/>
      <c r="U233" s="432"/>
      <c r="V233" s="432"/>
      <c r="W233" s="432"/>
    </row>
    <row r="234" spans="1:23">
      <c r="A234" s="425"/>
      <c r="B234" s="357"/>
      <c r="C234" s="357"/>
      <c r="D234" s="357"/>
      <c r="E234" s="426"/>
      <c r="F234" s="426"/>
      <c r="G234" s="427"/>
      <c r="H234" s="427"/>
      <c r="I234" s="428"/>
      <c r="J234" s="428"/>
      <c r="K234" s="357"/>
      <c r="L234" s="357"/>
      <c r="M234" s="426"/>
      <c r="N234" s="426"/>
      <c r="O234" s="429"/>
      <c r="P234" s="430"/>
      <c r="Q234" s="430"/>
      <c r="R234" s="430"/>
      <c r="S234" s="430"/>
      <c r="T234" s="430"/>
      <c r="U234" s="432"/>
      <c r="V234" s="432"/>
      <c r="W234" s="432"/>
    </row>
    <row r="235" spans="1:23">
      <c r="A235" s="425"/>
      <c r="B235" s="357"/>
      <c r="C235" s="357"/>
      <c r="D235" s="357"/>
      <c r="E235" s="426"/>
      <c r="F235" s="426"/>
      <c r="G235" s="427"/>
      <c r="H235" s="427"/>
      <c r="I235" s="428"/>
      <c r="J235" s="428"/>
      <c r="K235" s="357"/>
      <c r="L235" s="357"/>
      <c r="M235" s="357"/>
      <c r="N235" s="357"/>
      <c r="O235" s="429"/>
      <c r="P235" s="430"/>
      <c r="Q235" s="430"/>
      <c r="R235" s="430"/>
      <c r="S235" s="430"/>
      <c r="T235" s="430"/>
      <c r="U235" s="432"/>
      <c r="V235" s="432"/>
      <c r="W235" s="432"/>
    </row>
    <row r="236" spans="1:23">
      <c r="A236" s="357"/>
    </row>
    <row r="237" spans="1:23">
      <c r="A237" s="357"/>
    </row>
    <row r="279" spans="79:82" ht="14.65" thickBot="1">
      <c r="CA279" s="255" t="s">
        <v>50</v>
      </c>
      <c r="CB279" s="255" t="s">
        <v>51</v>
      </c>
      <c r="CC279" s="255"/>
      <c r="CD279" s="435"/>
    </row>
    <row r="280" spans="79:82" ht="293.55" customHeight="1" thickTop="1" thickBot="1">
      <c r="CA280" s="255" t="s">
        <v>52</v>
      </c>
      <c r="CB280" s="436"/>
      <c r="CC280" s="255"/>
      <c r="CD280" s="255"/>
    </row>
    <row r="281" spans="79:82" ht="293.55" customHeight="1" thickTop="1">
      <c r="CA281" s="255" t="s">
        <v>46</v>
      </c>
      <c r="CC281" s="255"/>
      <c r="CD281" s="255"/>
    </row>
    <row r="282" spans="79:82" ht="293.55" customHeight="1">
      <c r="CA282" s="255" t="s">
        <v>47</v>
      </c>
      <c r="CC282" s="255"/>
      <c r="CD282" s="255"/>
    </row>
  </sheetData>
  <sheetProtection algorithmName="SHA-512" hashValue="BzINv2dwYo3nzNt/ukiFWcBIVu/p8eUQ3qxzJXHnj9wdKHIliYJCu0otebBVCMV6o3O4t0Sel53gjAmAbCTwMg==" saltValue="6M3iE56Djbt5BuwTF6A+/Q==" spinCount="100000" sheet="1" objects="1" scenarios="1"/>
  <mergeCells count="14">
    <mergeCell ref="R147:R148"/>
    <mergeCell ref="A1:M3"/>
    <mergeCell ref="A4:AX4"/>
    <mergeCell ref="B147:B148"/>
    <mergeCell ref="F147:F148"/>
    <mergeCell ref="G147:G148"/>
    <mergeCell ref="H147:H148"/>
    <mergeCell ref="I147:I148"/>
    <mergeCell ref="J147:J148"/>
    <mergeCell ref="K147:K148"/>
    <mergeCell ref="M147:M148"/>
    <mergeCell ref="N147:N148"/>
    <mergeCell ref="O147:O148"/>
    <mergeCell ref="P147:P148"/>
  </mergeCells>
  <phoneticPr fontId="18"/>
  <dataValidations count="2">
    <dataValidation type="list" allowBlank="1" showInputMessage="1" showErrorMessage="1" sqref="B95:C98 B79:C93 C94 B104:B130 C99:C130" xr:uid="{8B8C9FB2-5B40-4C7E-98A2-F683DA582286}">
      <formula1>inputType</formula1>
    </dataValidation>
    <dataValidation type="list" allowBlank="1" showInputMessage="1" showErrorMessage="1" sqref="CC280:CD282" xr:uid="{1C6B4A96-9523-492B-BBE5-93837315344C}">
      <formula1>$CC$280:$CC$282</formula1>
    </dataValidation>
  </dataValidations>
  <hyperlinks>
    <hyperlink ref="P5" location="'Table of Contents'!B17" display="Table of Contents" xr:uid="{00000000-0004-0000-0300-000000000000}"/>
  </hyperlinks>
  <pageMargins left="0.7" right="0.7" top="0.75" bottom="0.75" header="0.3" footer="0.3"/>
  <pageSetup orientation="portrait" r:id="rId1"/>
  <drawing r:id="rId2"/>
  <tableParts count="3">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T23"/>
  <sheetViews>
    <sheetView showGridLines="0" showRowColHeaders="0" zoomScaleNormal="100" workbookViewId="0">
      <selection activeCell="R5" sqref="R5:T5"/>
    </sheetView>
  </sheetViews>
  <sheetFormatPr defaultColWidth="9.19921875" defaultRowHeight="14.25"/>
  <cols>
    <col min="1" max="2" width="9.19921875" style="62"/>
    <col min="3" max="3" width="7.796875" style="62" customWidth="1"/>
    <col min="4" max="4" width="6.53125" style="62" customWidth="1"/>
    <col min="5" max="17" width="9.19921875" style="62"/>
    <col min="18" max="18" width="18.796875" style="62" customWidth="1"/>
    <col min="19" max="16384" width="9.19921875" style="62"/>
  </cols>
  <sheetData>
    <row r="1" spans="1:20" ht="12.75" customHeight="1">
      <c r="A1" s="897"/>
      <c r="B1" s="897"/>
      <c r="C1" s="897"/>
      <c r="D1" s="897"/>
      <c r="E1" s="897"/>
      <c r="F1" s="897"/>
      <c r="G1" s="897"/>
      <c r="H1" s="897"/>
      <c r="I1" s="897"/>
      <c r="J1" s="897"/>
      <c r="K1" s="897"/>
      <c r="L1" s="897"/>
      <c r="M1" s="897"/>
      <c r="N1" s="897"/>
      <c r="O1" s="897"/>
      <c r="P1" s="897"/>
      <c r="Q1" s="897"/>
      <c r="R1" s="897"/>
    </row>
    <row r="2" spans="1:20" ht="12.75" customHeight="1">
      <c r="A2" s="897"/>
      <c r="B2" s="897"/>
      <c r="C2" s="897"/>
      <c r="D2" s="897"/>
      <c r="E2" s="897"/>
      <c r="F2" s="897"/>
      <c r="G2" s="897"/>
      <c r="H2" s="897"/>
      <c r="I2" s="897"/>
      <c r="J2" s="897"/>
      <c r="K2" s="897"/>
      <c r="L2" s="897"/>
      <c r="M2" s="897"/>
      <c r="N2" s="897"/>
      <c r="O2" s="897"/>
      <c r="P2" s="897"/>
      <c r="Q2" s="897"/>
      <c r="R2" s="897"/>
    </row>
    <row r="3" spans="1:20" ht="12.75" customHeight="1">
      <c r="A3" s="897"/>
      <c r="B3" s="897"/>
      <c r="C3" s="897"/>
      <c r="D3" s="897"/>
      <c r="E3" s="897"/>
      <c r="F3" s="897"/>
      <c r="G3" s="897"/>
      <c r="H3" s="897"/>
      <c r="I3" s="897"/>
      <c r="J3" s="897"/>
      <c r="K3" s="897"/>
      <c r="L3" s="897"/>
      <c r="M3" s="897"/>
      <c r="N3" s="897"/>
      <c r="O3" s="897"/>
      <c r="P3" s="897"/>
      <c r="Q3" s="897"/>
      <c r="R3" s="897"/>
    </row>
    <row r="4" spans="1:20" ht="12.75" customHeight="1">
      <c r="A4" s="898"/>
      <c r="B4" s="898"/>
      <c r="C4" s="898"/>
      <c r="D4" s="898"/>
      <c r="E4" s="898"/>
      <c r="F4" s="898"/>
      <c r="G4" s="898"/>
      <c r="H4" s="898"/>
      <c r="I4" s="898"/>
      <c r="J4" s="898"/>
      <c r="K4" s="898"/>
      <c r="L4" s="898"/>
      <c r="M4" s="898"/>
      <c r="N4" s="898"/>
      <c r="O4" s="898"/>
      <c r="P4" s="898"/>
      <c r="Q4" s="898"/>
      <c r="R4" s="898"/>
    </row>
    <row r="5" spans="1:20">
      <c r="A5" s="534" t="s">
        <v>182</v>
      </c>
      <c r="B5" s="534"/>
      <c r="C5" s="534"/>
      <c r="D5" s="534"/>
      <c r="E5" s="534"/>
      <c r="F5" s="534"/>
      <c r="G5" s="534"/>
      <c r="H5" s="534"/>
      <c r="I5" s="534"/>
      <c r="J5" s="534"/>
      <c r="K5" s="534"/>
      <c r="L5" s="534"/>
      <c r="M5" s="534"/>
      <c r="N5" s="534"/>
      <c r="O5" s="534"/>
      <c r="P5" s="534"/>
      <c r="Q5" s="322"/>
      <c r="R5" s="530" t="s">
        <v>8</v>
      </c>
      <c r="S5" s="529"/>
      <c r="T5" s="529"/>
    </row>
    <row r="6" spans="1:20" ht="15" customHeight="1">
      <c r="A6" s="63"/>
      <c r="B6" s="63"/>
      <c r="C6" s="63"/>
      <c r="D6" s="63"/>
      <c r="E6" s="63"/>
      <c r="F6" s="63"/>
      <c r="G6" s="63"/>
      <c r="H6" s="63"/>
      <c r="I6" s="63"/>
      <c r="J6" s="63"/>
      <c r="K6" s="63"/>
      <c r="L6" s="63"/>
      <c r="M6" s="63"/>
      <c r="N6" s="63"/>
      <c r="O6" s="63"/>
      <c r="P6" s="63"/>
      <c r="Q6" s="63"/>
      <c r="R6" s="63"/>
      <c r="S6" s="63"/>
    </row>
    <row r="7" spans="1:20" ht="15" customHeight="1">
      <c r="A7" s="63"/>
      <c r="B7" s="63"/>
      <c r="C7" s="63"/>
      <c r="D7" s="63"/>
      <c r="E7" s="63"/>
      <c r="F7" s="63"/>
      <c r="G7" s="63"/>
      <c r="H7" s="63"/>
      <c r="I7" s="63"/>
      <c r="J7" s="63"/>
      <c r="K7" s="63"/>
      <c r="L7" s="63"/>
      <c r="M7" s="63"/>
      <c r="N7" s="63"/>
      <c r="O7" s="63"/>
      <c r="P7" s="63"/>
      <c r="Q7" s="63"/>
      <c r="R7" s="63"/>
      <c r="S7" s="63"/>
    </row>
    <row r="8" spans="1:20" ht="15" customHeight="1">
      <c r="A8" s="64"/>
      <c r="B8" s="64"/>
      <c r="C8" s="64"/>
      <c r="D8" s="64"/>
      <c r="E8" s="64"/>
      <c r="F8" s="64"/>
      <c r="G8" s="64"/>
      <c r="H8" s="64"/>
      <c r="I8" s="64"/>
      <c r="J8" s="64"/>
      <c r="K8" s="64"/>
      <c r="L8" s="64"/>
      <c r="M8" s="64"/>
      <c r="N8" s="64"/>
      <c r="O8" s="64"/>
      <c r="P8" s="64"/>
      <c r="Q8" s="64"/>
      <c r="R8" s="64"/>
      <c r="S8" s="63"/>
    </row>
    <row r="9" spans="1:20" ht="15" customHeight="1">
      <c r="A9" s="63"/>
      <c r="B9" s="63"/>
      <c r="C9" s="63"/>
      <c r="D9" s="63"/>
      <c r="E9" s="63"/>
      <c r="F9" s="63"/>
      <c r="G9" s="63"/>
      <c r="H9" s="63"/>
      <c r="I9" s="63"/>
      <c r="J9" s="63"/>
      <c r="K9" s="63"/>
      <c r="L9" s="63"/>
      <c r="M9" s="63"/>
      <c r="N9" s="63"/>
      <c r="O9" s="63"/>
      <c r="P9" s="63"/>
      <c r="Q9" s="63"/>
      <c r="R9" s="63"/>
      <c r="S9" s="63"/>
    </row>
    <row r="10" spans="1:20" ht="15" customHeight="1">
      <c r="A10" s="63"/>
      <c r="B10" s="63"/>
      <c r="C10" s="63"/>
      <c r="D10" s="63"/>
      <c r="E10" s="63"/>
      <c r="F10" s="63"/>
      <c r="G10" s="63"/>
      <c r="H10" s="63"/>
      <c r="I10" s="63"/>
      <c r="J10" s="63"/>
      <c r="K10" s="63"/>
      <c r="L10" s="63"/>
      <c r="M10" s="63"/>
      <c r="N10" s="63"/>
      <c r="O10" s="63"/>
      <c r="P10" s="63"/>
      <c r="Q10" s="63"/>
      <c r="R10" s="63"/>
      <c r="S10" s="63"/>
    </row>
    <row r="11" spans="1:20" ht="15" customHeight="1">
      <c r="A11" s="63"/>
      <c r="B11" s="63"/>
      <c r="C11" s="63"/>
      <c r="D11" s="63"/>
      <c r="E11" s="63"/>
      <c r="F11" s="63"/>
      <c r="G11" s="63"/>
      <c r="H11" s="63"/>
      <c r="I11" s="63"/>
      <c r="J11" s="63"/>
      <c r="K11" s="63"/>
      <c r="L11" s="63"/>
      <c r="M11" s="63"/>
      <c r="N11" s="63"/>
      <c r="O11" s="63"/>
      <c r="P11" s="63"/>
      <c r="Q11" s="63"/>
      <c r="R11" s="63"/>
      <c r="S11" s="63"/>
    </row>
    <row r="12" spans="1:20" ht="15" customHeight="1">
      <c r="A12" s="63"/>
      <c r="B12" s="63"/>
      <c r="C12" s="63"/>
      <c r="D12" s="63"/>
      <c r="E12" s="63"/>
      <c r="F12" s="63"/>
      <c r="G12" s="63"/>
      <c r="H12" s="63"/>
      <c r="I12" s="63"/>
      <c r="J12" s="63"/>
      <c r="K12" s="63"/>
      <c r="L12" s="63"/>
      <c r="M12" s="63"/>
      <c r="N12" s="63"/>
      <c r="O12" s="63"/>
      <c r="P12" s="63"/>
      <c r="Q12" s="63"/>
      <c r="R12" s="63"/>
      <c r="S12" s="63"/>
    </row>
    <row r="13" spans="1:20" ht="15" customHeight="1">
      <c r="A13" s="63"/>
      <c r="B13" s="63"/>
      <c r="C13" s="63"/>
      <c r="D13" s="63"/>
      <c r="E13" s="63"/>
      <c r="F13" s="63"/>
      <c r="G13" s="63"/>
      <c r="H13" s="63"/>
      <c r="I13" s="63"/>
      <c r="J13" s="63"/>
      <c r="K13" s="63"/>
      <c r="L13" s="63"/>
      <c r="M13" s="63"/>
      <c r="N13" s="63"/>
      <c r="O13" s="63"/>
      <c r="P13" s="63"/>
      <c r="Q13" s="63"/>
      <c r="R13" s="63"/>
      <c r="S13" s="63"/>
    </row>
    <row r="14" spans="1:20" ht="15" customHeight="1">
      <c r="A14" s="63"/>
      <c r="B14" s="63"/>
      <c r="C14" s="63"/>
      <c r="D14" s="63"/>
      <c r="E14" s="63"/>
      <c r="F14" s="63"/>
      <c r="G14" s="63"/>
      <c r="H14" s="63"/>
      <c r="I14" s="63"/>
      <c r="J14" s="63"/>
      <c r="K14" s="63"/>
      <c r="L14" s="63"/>
      <c r="M14" s="63"/>
      <c r="N14" s="63"/>
      <c r="O14" s="63"/>
      <c r="P14" s="63"/>
      <c r="Q14" s="63"/>
      <c r="R14" s="63"/>
      <c r="S14" s="63"/>
    </row>
    <row r="15" spans="1:20" ht="15" customHeight="1">
      <c r="A15" s="63"/>
      <c r="B15" s="63"/>
      <c r="C15" s="63"/>
      <c r="D15" s="63"/>
      <c r="E15" s="63"/>
      <c r="F15" s="63"/>
      <c r="G15" s="63"/>
      <c r="H15" s="63"/>
      <c r="I15" s="63"/>
      <c r="J15" s="63"/>
      <c r="K15" s="63"/>
      <c r="L15" s="63"/>
      <c r="M15" s="63"/>
      <c r="N15" s="63"/>
      <c r="O15" s="63"/>
      <c r="P15" s="63"/>
      <c r="Q15" s="63"/>
      <c r="R15" s="63"/>
      <c r="S15" s="63"/>
    </row>
    <row r="16" spans="1:20" ht="15" customHeight="1">
      <c r="A16" s="63"/>
      <c r="B16" s="63"/>
      <c r="C16" s="63"/>
      <c r="D16" s="63"/>
      <c r="E16" s="63"/>
      <c r="F16" s="63"/>
      <c r="G16" s="63"/>
      <c r="H16" s="63"/>
      <c r="I16" s="63"/>
      <c r="J16" s="63"/>
      <c r="K16" s="63"/>
      <c r="L16" s="63"/>
      <c r="M16" s="63"/>
      <c r="N16" s="63"/>
      <c r="O16" s="63"/>
      <c r="P16" s="63"/>
      <c r="Q16" s="63"/>
      <c r="R16" s="63"/>
      <c r="S16" s="63"/>
    </row>
    <row r="17" spans="1:19" ht="15" customHeight="1">
      <c r="A17" s="63"/>
      <c r="B17" s="63"/>
      <c r="C17" s="63"/>
      <c r="D17" s="63"/>
      <c r="E17" s="63"/>
      <c r="F17" s="63"/>
      <c r="G17" s="63"/>
      <c r="H17" s="63"/>
      <c r="I17" s="63"/>
      <c r="J17" s="63"/>
      <c r="K17" s="63"/>
      <c r="L17" s="63"/>
      <c r="M17" s="63"/>
      <c r="N17" s="63"/>
      <c r="O17" s="63"/>
      <c r="P17" s="63"/>
      <c r="Q17" s="63"/>
      <c r="R17" s="63"/>
      <c r="S17" s="63"/>
    </row>
    <row r="18" spans="1:19" ht="15" customHeight="1">
      <c r="A18" s="63"/>
      <c r="B18" s="63"/>
      <c r="C18" s="63"/>
      <c r="D18" s="63"/>
      <c r="E18" s="63"/>
      <c r="F18" s="63"/>
      <c r="G18" s="63"/>
      <c r="H18" s="63"/>
      <c r="I18" s="63"/>
      <c r="J18" s="63"/>
      <c r="K18" s="63"/>
      <c r="L18" s="63"/>
      <c r="M18" s="63"/>
      <c r="N18" s="63"/>
      <c r="O18" s="63"/>
      <c r="P18" s="63"/>
      <c r="Q18" s="63"/>
      <c r="R18" s="63"/>
      <c r="S18" s="63"/>
    </row>
    <row r="19" spans="1:19" ht="15" customHeight="1">
      <c r="A19" s="63"/>
      <c r="B19" s="63"/>
      <c r="C19" s="63"/>
      <c r="D19" s="63"/>
      <c r="E19" s="63"/>
      <c r="F19" s="63"/>
      <c r="G19" s="63"/>
      <c r="H19" s="63"/>
      <c r="I19" s="63"/>
      <c r="J19" s="63"/>
      <c r="K19" s="63"/>
      <c r="L19" s="63"/>
      <c r="M19" s="63"/>
      <c r="N19" s="63"/>
      <c r="O19" s="63"/>
      <c r="P19" s="63"/>
      <c r="Q19" s="63"/>
      <c r="R19" s="63"/>
      <c r="S19" s="63"/>
    </row>
    <row r="20" spans="1:19">
      <c r="A20" s="63"/>
      <c r="B20" s="63"/>
      <c r="C20" s="63"/>
      <c r="D20" s="63"/>
      <c r="E20" s="63"/>
      <c r="F20" s="63"/>
      <c r="G20" s="63"/>
      <c r="H20" s="65"/>
      <c r="I20" s="65"/>
      <c r="J20" s="65"/>
      <c r="K20" s="65"/>
      <c r="L20" s="65"/>
      <c r="M20" s="65"/>
      <c r="N20" s="65"/>
      <c r="O20" s="65"/>
      <c r="P20" s="65"/>
      <c r="Q20" s="65"/>
      <c r="R20" s="65"/>
      <c r="S20" s="65"/>
    </row>
    <row r="21" spans="1:19">
      <c r="A21" s="63"/>
      <c r="B21" s="63"/>
      <c r="C21" s="63"/>
      <c r="D21" s="63"/>
      <c r="E21" s="63"/>
      <c r="F21" s="63"/>
      <c r="G21" s="63"/>
      <c r="H21" s="65"/>
      <c r="I21" s="65"/>
      <c r="J21" s="65"/>
      <c r="K21" s="65"/>
      <c r="L21" s="65"/>
      <c r="M21" s="65"/>
      <c r="N21" s="65"/>
      <c r="O21" s="65"/>
      <c r="P21" s="65"/>
      <c r="Q21" s="65"/>
      <c r="R21" s="65"/>
      <c r="S21" s="65"/>
    </row>
    <row r="22" spans="1:19">
      <c r="A22" s="63"/>
      <c r="B22" s="63"/>
      <c r="C22" s="63"/>
      <c r="D22" s="63"/>
      <c r="E22" s="63"/>
      <c r="F22" s="63"/>
      <c r="G22" s="63"/>
      <c r="H22" s="65"/>
      <c r="I22" s="65"/>
      <c r="J22" s="65"/>
      <c r="K22" s="65"/>
      <c r="L22" s="65"/>
      <c r="M22" s="65"/>
      <c r="N22" s="65"/>
      <c r="O22" s="65"/>
      <c r="P22" s="65"/>
      <c r="Q22" s="65"/>
      <c r="R22" s="65"/>
      <c r="S22" s="65"/>
    </row>
    <row r="23" spans="1:19">
      <c r="A23" s="65"/>
      <c r="B23" s="65"/>
      <c r="C23" s="65"/>
      <c r="D23" s="65"/>
      <c r="E23" s="65"/>
      <c r="F23" s="65"/>
      <c r="G23" s="65"/>
      <c r="H23" s="65"/>
      <c r="I23" s="65"/>
      <c r="J23" s="65"/>
      <c r="K23" s="65"/>
      <c r="L23" s="65"/>
      <c r="M23" s="65"/>
      <c r="N23" s="65"/>
      <c r="O23" s="65"/>
      <c r="P23" s="65"/>
      <c r="Q23" s="65"/>
      <c r="R23" s="65"/>
      <c r="S23" s="65"/>
    </row>
  </sheetData>
  <sheetProtection algorithmName="SHA-512" hashValue="GAhXVW3ngB68PvzXhkPeM13NvmN6MYN/g32CJHOvC4pALbnlBS4IzhkzTnes81not2EK5YpQ+XHZDRw7LDt2mg==" saltValue="7zmX24rAOY/JIgeXCvD6Ag==" spinCount="100000" sheet="1" objects="1" scenarios="1"/>
  <mergeCells count="4">
    <mergeCell ref="A1:R3"/>
    <mergeCell ref="A4:R4"/>
    <mergeCell ref="A5:P5"/>
    <mergeCell ref="R5:T5"/>
  </mergeCells>
  <hyperlinks>
    <hyperlink ref="A5:O5" r:id="rId1" display="For any futher assistance on this tool, please post your question in the following forum Room - E2E Precision Data Converters Forum" xr:uid="{00000000-0004-0000-0400-000000000000}"/>
    <hyperlink ref="R5" location="'Table of Contents'!B17" display="Table of Contents" xr:uid="{00000000-0004-0000-0400-000001000000}"/>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vt:i4>
      </vt:variant>
    </vt:vector>
  </HeadingPairs>
  <TitlesOfParts>
    <vt:vector size="19" baseType="lpstr">
      <vt:lpstr>Table of Contents</vt:lpstr>
      <vt:lpstr>Help</vt:lpstr>
      <vt:lpstr>Directions</vt:lpstr>
      <vt:lpstr>Current Sensing Calculator</vt:lpstr>
      <vt:lpstr>Device Comparison</vt:lpstr>
      <vt:lpstr>License</vt:lpstr>
      <vt:lpstr>Directions!Configs</vt:lpstr>
      <vt:lpstr>Configs</vt:lpstr>
      <vt:lpstr>Directions!Device_List</vt:lpstr>
      <vt:lpstr>Device_List</vt:lpstr>
      <vt:lpstr>Directions!inputType</vt:lpstr>
      <vt:lpstr>inputType</vt:lpstr>
      <vt:lpstr>Directions!InputTypeColumn</vt:lpstr>
      <vt:lpstr>InputTypeColumn</vt:lpstr>
      <vt:lpstr>Select_Configuration</vt:lpstr>
      <vt:lpstr>selectConfig</vt:lpstr>
      <vt:lpstr>single</vt:lpstr>
      <vt:lpstr>Single_Ended</vt:lpstr>
      <vt:lpstr>withoutR3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2025-11-19T19:17:46Z</dcterms:modified>
</cp:coreProperties>
</file>