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se.itg.ti.com/sites/PS/Projects/Isolation/Shared Documents/Device development/TPSI2260/Applications/"/>
    </mc:Choice>
  </mc:AlternateContent>
  <xr:revisionPtr revIDLastSave="0" documentId="13_ncr:20000001_{6E777CEB-10B7-4984-928B-53AE7122047A}" xr6:coauthVersionLast="47" xr6:coauthVersionMax="47" xr10:uidLastSave="{00000000-0000-0000-0000-000000000000}"/>
  <bookViews>
    <workbookView xWindow="-14655" yWindow="-16320" windowWidth="29040" windowHeight="15720" firstSheet="1" activeTab="1" xr2:uid="{B671B432-2794-4C82-9952-724F5E2E9FF4}"/>
  </bookViews>
  <sheets>
    <sheet name="TPSI2240T-Q1 (TAP) Calculator" sheetId="1" state="hidden" r:id="rId1"/>
    <sheet name="TPSI2240x-Q1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I5" i="2"/>
  <c r="D3" i="2"/>
  <c r="E3" i="2" s="1"/>
  <c r="J5" i="2" s="1"/>
  <c r="C3" i="2"/>
  <c r="K5" i="2" l="1"/>
  <c r="F3" i="2"/>
  <c r="H3" i="2" s="1"/>
  <c r="I3" i="2" s="1"/>
  <c r="F4" i="2"/>
  <c r="J3" i="2" l="1"/>
  <c r="K3" i="2" s="1"/>
  <c r="E3" i="1"/>
  <c r="F3" i="1" l="1"/>
  <c r="H3" i="1" s="1"/>
  <c r="K12" i="1"/>
  <c r="K9" i="1"/>
  <c r="J5" i="1"/>
  <c r="J12" i="1" s="1"/>
  <c r="C3" i="1"/>
  <c r="L18" i="1" l="1"/>
  <c r="L12" i="1"/>
  <c r="K5" i="1" l="1"/>
  <c r="D3" i="1"/>
  <c r="L5" i="1" l="1"/>
  <c r="G3" i="1"/>
  <c r="I3" i="1" s="1"/>
  <c r="J3" i="1" s="1"/>
  <c r="G4" i="1"/>
  <c r="L15" i="1" l="1"/>
  <c r="J9" i="1"/>
  <c r="L9" i="1" s="1"/>
  <c r="K3" i="1"/>
  <c r="L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Alsahhaf, Hussain</author>
  </authors>
  <commentList>
    <comment ref="H2" authorId="0" shapeId="0" xr:uid="{1A832DCE-D1AC-4D2F-B012-E6B14FB0B830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Number of resistors needed to not exceed Resistor Ratings [Voltage (V) ]</t>
        </r>
      </text>
    </comment>
    <comment ref="I2" authorId="0" shapeId="0" xr:uid="{16B49973-F7A7-4307-903A-3B6A3EB1166D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Alsahhaf, Hussain:
Number of resistors needed to not exceed Resistor Ratings [Power (W)]</t>
        </r>
      </text>
    </comment>
    <comment ref="J8" authorId="0" shapeId="0" xr:uid="{FF7A5F6D-346B-4DC6-BDC9-550FB08EAC77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Assumes that resistos are oriented vertically such that resistor length is on the Y axis and resistor width is on the X axis</t>
        </r>
      </text>
    </comment>
    <comment ref="K8" authorId="0" shapeId="0" xr:uid="{52B6884B-A2F1-43FD-BE61-F4ADE642F7D0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Assumes that resistos are oriented vertically such that resistor length is on the Y axis and resistor width is on the X axis</t>
        </r>
      </text>
    </comment>
    <comment ref="J11" authorId="0" shapeId="0" xr:uid="{95A130CA-920E-43CC-9089-5EE7A69DF9EE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Assumes that resistos are oriented vertically such that resistor length is on the Y axis and resistor width is on the X axis</t>
        </r>
      </text>
    </comment>
    <comment ref="K11" authorId="0" shapeId="0" xr:uid="{E5CB8F68-3D55-47CA-837B-2A900F936EF7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Assumes that resistos are oriented vertically such that resistor length is on the Y axis and resistor width is on the X axis</t>
        </r>
      </text>
    </comment>
    <comment ref="A17" authorId="0" shapeId="0" xr:uid="{8EAECA9D-9A4D-4F8E-9DF3-63C39D6C94CE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Determines max voltage delivered to ADC at S2 pin under nominal HV+ voltage (Ex: 800V pack corresponds with 4.3kV Hipot voltage)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Alsahhaf, Hussain</author>
  </authors>
  <commentList>
    <comment ref="B2" authorId="0" shapeId="0" xr:uid="{0E71D763-AEC8-4113-A0BC-4053249020C1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b/>
            <sz val="9"/>
            <color indexed="81"/>
            <rFont val="Tahoma"/>
            <family val="2"/>
          </rPr>
          <t>Common BMS HiPot Voltages -&gt;</t>
        </r>
        <r>
          <rPr>
            <sz val="9"/>
            <color indexed="81"/>
            <rFont val="Tahoma"/>
            <family val="2"/>
          </rPr>
          <t xml:space="preserve"> (2U+1000)*sqrt(2)
</t>
        </r>
        <r>
          <rPr>
            <b/>
            <sz val="9"/>
            <color indexed="81"/>
            <rFont val="Tahoma"/>
            <family val="2"/>
          </rPr>
          <t>800V BMS: ≃</t>
        </r>
        <r>
          <rPr>
            <sz val="9"/>
            <color indexed="81"/>
            <rFont val="Tahoma"/>
            <family val="2"/>
          </rPr>
          <t xml:space="preserve">4.3kV
</t>
        </r>
        <r>
          <rPr>
            <b/>
            <sz val="9"/>
            <color indexed="81"/>
            <rFont val="Tahoma"/>
            <family val="2"/>
          </rPr>
          <t xml:space="preserve">400V BMS: ≃ </t>
        </r>
        <r>
          <rPr>
            <sz val="9"/>
            <color indexed="81"/>
            <rFont val="Tahoma"/>
            <family val="2"/>
          </rPr>
          <t xml:space="preserve">2.85kV </t>
        </r>
      </text>
    </comment>
    <comment ref="G2" authorId="0" shapeId="0" xr:uid="{A3378222-1B78-44CF-8F6D-E886E2CEDDA4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Number of resistors needed to not exceed Resistor Ratings [Voltage (V) ]. 
Extra resistor is added for additional design margin (reduces voltage drop and power dissipation in each resistor).</t>
        </r>
      </text>
    </comment>
    <comment ref="H2" authorId="0" shapeId="0" xr:uid="{FCF74585-6B9B-40FB-BA63-5D0A8CD3B12D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>Number of resistors needed to not exceed Resistor Ratings [Power Rating (W)]. 
Extra resistor is added for additional design margin (reduces voltage drop and power dissipation in each resistor).</t>
        </r>
      </text>
    </comment>
    <comment ref="I2" authorId="0" shapeId="0" xr:uid="{81EB838D-3A60-41B6-B7B8-17538C72BF1F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Recommended number of resistors to achieve calculated </t>
        </r>
        <r>
          <rPr>
            <u/>
            <sz val="9"/>
            <color indexed="81"/>
            <rFont val="Tahoma"/>
            <family val="2"/>
          </rPr>
          <t>Res1</t>
        </r>
        <r>
          <rPr>
            <sz val="9"/>
            <color indexed="81"/>
            <rFont val="Tahoma"/>
            <family val="2"/>
          </rPr>
          <t xml:space="preserve"> value. Resistors are evenly split to be in series with </t>
        </r>
        <r>
          <rPr>
            <b/>
            <sz val="9"/>
            <color indexed="81"/>
            <rFont val="Tahoma"/>
            <family val="2"/>
          </rPr>
          <t>S1</t>
        </r>
        <r>
          <rPr>
            <sz val="9"/>
            <color indexed="81"/>
            <rFont val="Tahoma"/>
            <family val="2"/>
          </rPr>
          <t xml:space="preserve"> and </t>
        </r>
        <r>
          <rPr>
            <b/>
            <sz val="9"/>
            <color indexed="81"/>
            <rFont val="Tahoma"/>
            <family val="2"/>
          </rPr>
          <t xml:space="preserve">S2 </t>
        </r>
        <r>
          <rPr>
            <sz val="9"/>
            <color indexed="81"/>
            <rFont val="Tahoma"/>
            <family val="2"/>
          </rPr>
          <t xml:space="preserve">pins (see diagram below). 
</t>
        </r>
      </text>
    </comment>
    <comment ref="B3" authorId="0" shapeId="0" xr:uid="{A11C8AD7-93B2-4C8F-A171-CB82A2176605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Minimum Avalanche Voltage from </t>
        </r>
        <r>
          <rPr>
            <u/>
            <sz val="9"/>
            <color indexed="81"/>
            <rFont val="Tahoma"/>
            <family val="2"/>
          </rPr>
          <t>TPSI2260-Q1</t>
        </r>
        <r>
          <rPr>
            <sz val="9"/>
            <color indexed="81"/>
            <rFont val="Tahoma"/>
            <family val="2"/>
          </rPr>
          <t xml:space="preserve"> datasheet specification</t>
        </r>
      </text>
    </comment>
    <comment ref="B4" authorId="0" shapeId="0" xr:uid="{D995EC46-5F9C-43CE-8959-2F1D0C5D5116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 xml:space="preserve">Maximum Avalanche Current limits from datasheet: </t>
        </r>
        <r>
          <rPr>
            <b/>
            <u/>
            <sz val="9"/>
            <color indexed="81"/>
            <rFont val="Tahoma"/>
            <family val="2"/>
          </rPr>
          <t>TPSI2260-Q1: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1.0mA
</t>
        </r>
        <r>
          <rPr>
            <b/>
            <u/>
            <sz val="9"/>
            <color indexed="81"/>
            <rFont val="Tahoma"/>
            <family val="2"/>
          </rPr>
          <t>TPSI2260T-Q1:</t>
        </r>
        <r>
          <rPr>
            <sz val="9"/>
            <color indexed="81"/>
            <rFont val="Tahoma"/>
            <family val="2"/>
          </rPr>
          <t xml:space="preserve"> 3.0mA
</t>
        </r>
      </text>
    </comment>
    <comment ref="I4" authorId="0" shapeId="0" xr:uid="{90718313-9CD8-4DDA-9231-C8E74D748CA5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 xml:space="preserve">Recommended number of resistors to achieve calculated </t>
        </r>
        <r>
          <rPr>
            <u/>
            <sz val="9"/>
            <color indexed="81"/>
            <rFont val="Tahoma"/>
            <family val="2"/>
          </rPr>
          <t>Res2</t>
        </r>
        <r>
          <rPr>
            <sz val="9"/>
            <color indexed="81"/>
            <rFont val="Tahoma"/>
            <family val="2"/>
          </rPr>
          <t xml:space="preserve"> value. Resistors are placed in parallel to form equivalent </t>
        </r>
        <r>
          <rPr>
            <u/>
            <sz val="9"/>
            <color indexed="81"/>
            <rFont val="Tahoma"/>
            <family val="2"/>
          </rPr>
          <t>Res2</t>
        </r>
        <r>
          <rPr>
            <sz val="9"/>
            <color indexed="81"/>
            <rFont val="Tahoma"/>
            <family val="2"/>
          </rPr>
          <t xml:space="preserve"> value. Two or more parallel resistors help </t>
        </r>
        <r>
          <rPr>
            <b/>
            <sz val="9"/>
            <color indexed="81"/>
            <rFont val="Tahoma"/>
            <family val="2"/>
          </rPr>
          <t>prevent single point failure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B6" authorId="0" shapeId="0" xr:uid="{E578657F-230B-4E53-91BB-15D33FF44EA2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 xml:space="preserve">Continous Working Voltage is determined from resistor datasheet. Commonly calculated as the minimum of V=sqrt(P*R) or maximum working/limiting element voltage on datasheet. 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0" shapeId="0" xr:uid="{A0441670-BCAF-4C7E-808D-5B8AA0246110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 xml:space="preserve">Resistor power rating specification from datasheet. This value is used in Resistor Voltage Rating calculation above. 
</t>
        </r>
      </text>
    </comment>
    <comment ref="B9" authorId="0" shapeId="0" xr:uid="{7025C924-7A43-40E0-8398-E483806576FD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Continous Working Voltage is determined from resistor datasheet. Commonly calculated as the minimum of V=sqrt(P*R) or maximum working/limiting element voltage on datasheet.   
</t>
        </r>
      </text>
    </comment>
    <comment ref="B10" authorId="0" shapeId="0" xr:uid="{745F6025-8804-4A63-91C3-DD2719230718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>Resistor power rating specification from datasheet. This value is used in Resistor Voltage Rating calculation above.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A15" authorId="0" shapeId="0" xr:uid="{C47C5490-88BD-4379-9D85-51DB70EAFC85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Desired ratio of </t>
        </r>
        <r>
          <rPr>
            <u/>
            <sz val="9"/>
            <color indexed="81"/>
            <rFont val="Tahoma"/>
            <family val="2"/>
          </rPr>
          <t xml:space="preserve">Res1 </t>
        </r>
        <r>
          <rPr>
            <sz val="9"/>
            <color indexed="81"/>
            <rFont val="Tahoma"/>
            <family val="2"/>
          </rPr>
          <t xml:space="preserve">to </t>
        </r>
        <r>
          <rPr>
            <u/>
            <sz val="9"/>
            <color indexed="81"/>
            <rFont val="Tahoma"/>
            <family val="2"/>
          </rPr>
          <t>Res2</t>
        </r>
        <r>
          <rPr>
            <sz val="9"/>
            <color indexed="81"/>
            <rFont val="Tahoma"/>
            <family val="2"/>
          </rPr>
          <t xml:space="preserve"> (Res1/Res2). Ratio determines max voltage delivered to ADC under nominal HV+ voltage (Ex: 800V pack corresponds with 4.3kV Hipot voltage)</t>
        </r>
      </text>
    </comment>
  </commentList>
</comments>
</file>

<file path=xl/sharedStrings.xml><?xml version="1.0" encoding="utf-8"?>
<sst xmlns="http://schemas.openxmlformats.org/spreadsheetml/2006/main" count="74" uniqueCount="46">
  <si>
    <t xml:space="preserve">Inputs </t>
  </si>
  <si>
    <t>HiPot Voltage (kV)</t>
  </si>
  <si>
    <t>Avalanche Voltage (kV)</t>
  </si>
  <si>
    <t>Avalanche Current (mA)</t>
  </si>
  <si>
    <t>Resistor Voltage Rating (V)</t>
  </si>
  <si>
    <t>Resistor Power Rating (W)</t>
  </si>
  <si>
    <t xml:space="preserve">Outputs </t>
  </si>
  <si>
    <t>Rstring Divider Ratio</t>
  </si>
  <si>
    <t>Rstring (Res2) [Ω]</t>
  </si>
  <si>
    <t>Switch Off Current (A)
[Avalanche Condition]</t>
  </si>
  <si>
    <t>Switch ON Current (A)
[During Hipot + Thermal Avalanche Protection]</t>
  </si>
  <si>
    <t>Min # of resistors
needed for Voltage Rating (Res1)</t>
  </si>
  <si>
    <t>Max Power Dissipation (Res1) [W]</t>
  </si>
  <si>
    <t>Min # of resistors
needed for Power Rating (Res1)</t>
  </si>
  <si>
    <t>Rstring (Res1) [Ω]</t>
  </si>
  <si>
    <t>Min # of resistors (Res1)</t>
  </si>
  <si>
    <t>Max Voltage
Per Resistor (Res1) [V]</t>
  </si>
  <si>
    <t>Max Power
Per Resistor (Res1) [W]</t>
  </si>
  <si>
    <t>Max Voltage
Per Resistor (Res2) [V]</t>
  </si>
  <si>
    <t>Max Power
Per Resistor (Res2) [W]</t>
  </si>
  <si>
    <t>Min # of resistors (Res2)</t>
  </si>
  <si>
    <t>Res1 Specifications:</t>
  </si>
  <si>
    <t>Res2 Specifications:</t>
  </si>
  <si>
    <t>Resistor Length (mm)</t>
  </si>
  <si>
    <t>Resistor Width (mm)</t>
  </si>
  <si>
    <t>Total Resistor
String Area (Res1) [mm^2]</t>
  </si>
  <si>
    <t>Total Resistor
String Area (Res2) [mm^2]</t>
  </si>
  <si>
    <t>Total Resistor
String X Dimension (Res1) [mm]</t>
  </si>
  <si>
    <t>Total Resistor
String X Dimension (Res2) [mm]</t>
  </si>
  <si>
    <t>Total Resistor
String Y Dimension (Res1) [mm]</t>
  </si>
  <si>
    <t>Total Resistor
String Y Dimension (Res2) [mm]</t>
  </si>
  <si>
    <t>Tape &amp; Reel (4Ku) Unit Cost [$]</t>
  </si>
  <si>
    <t>Total Resistor
String cost (Res1) [$]</t>
  </si>
  <si>
    <t>Total Resistor
String Cost (Res2) [$]</t>
  </si>
  <si>
    <t>Tape &amp; Reel (5Ku) Unit Cost [$]</t>
  </si>
  <si>
    <r>
      <t xml:space="preserve">Min # of </t>
    </r>
    <r>
      <rPr>
        <b/>
        <sz val="11"/>
        <color theme="8" tint="-0.249977111117893"/>
        <rFont val="Calibri"/>
        <family val="2"/>
        <scheme val="minor"/>
      </rPr>
      <t>series</t>
    </r>
    <r>
      <rPr>
        <b/>
        <sz val="11"/>
        <color theme="1"/>
        <rFont val="Calibri"/>
        <family val="2"/>
        <scheme val="minor"/>
      </rPr>
      <t xml:space="preserve"> resistors (Res1)</t>
    </r>
  </si>
  <si>
    <r>
      <t xml:space="preserve">Min # of </t>
    </r>
    <r>
      <rPr>
        <b/>
        <sz val="11"/>
        <color theme="8" tint="-0.249977111117893"/>
        <rFont val="Calibri"/>
        <family val="2"/>
        <scheme val="minor"/>
      </rPr>
      <t>parallel</t>
    </r>
    <r>
      <rPr>
        <b/>
        <sz val="11"/>
        <color theme="1"/>
        <rFont val="Calibri"/>
        <family val="2"/>
        <scheme val="minor"/>
      </rPr>
      <t xml:space="preserve"> resistors (Res2)</t>
    </r>
  </si>
  <si>
    <t>Recomended Part Number 
(Maximum Avalanche Current [60s]):</t>
  </si>
  <si>
    <t>Avalanche Protection Mode</t>
  </si>
  <si>
    <t xml:space="preserve">Standard Avalanche Protection </t>
  </si>
  <si>
    <t xml:space="preserve">Thermal Avalanche Protection </t>
  </si>
  <si>
    <t>HiPot Voltage (kV) [60s]</t>
  </si>
  <si>
    <t>1.0mA</t>
  </si>
  <si>
    <t>3.0mA</t>
  </si>
  <si>
    <t xml:space="preserve">TPSI2260-Q1 </t>
  </si>
  <si>
    <r>
      <t>TPSI2260</t>
    </r>
    <r>
      <rPr>
        <b/>
        <i/>
        <sz val="11"/>
        <color rgb="FFFF0000"/>
        <rFont val="Calibri"/>
        <family val="2"/>
        <scheme val="minor"/>
      </rPr>
      <t>T</t>
    </r>
    <r>
      <rPr>
        <i/>
        <sz val="11"/>
        <color theme="1"/>
        <rFont val="Calibri"/>
        <family val="2"/>
        <scheme val="minor"/>
      </rPr>
      <t xml:space="preserve">-Q1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</si>
</sst>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00"/>
  </numFmts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b/>
      <u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lightDown"/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DB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FFFF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thin">
        <color indexed="64"/>
      </right>
      <top style="thin">
        <color theme="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 style="medium">
        <color indexed="64"/>
      </right>
      <top style="thin">
        <color theme="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theme="3"/>
      </top>
      <bottom/>
      <diagonal/>
    </border>
    <border>
      <left style="medium">
        <color indexed="64"/>
      </left>
      <right/>
      <top style="thin">
        <color theme="3"/>
      </top>
      <bottom/>
      <diagonal/>
    </border>
    <border>
      <left style="medium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medium">
        <color rgb="FFFFFF00"/>
      </top>
      <bottom style="thin">
        <color indexed="64"/>
      </bottom>
      <diagonal/>
    </border>
    <border>
      <left/>
      <right style="medium">
        <color indexed="64"/>
      </right>
      <top style="medium">
        <color rgb="FFFFFF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FFFF00"/>
      </bottom>
      <diagonal/>
    </border>
    <border>
      <left style="medium">
        <color indexed="64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3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theme="3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3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107">
    <xf numFmtId="0" fontId="0" fillId="0" borderId="0" xfId="0"/>
    <xf numFmtId="0" fontId="1" fillId="2" borderId="27" xfId="1" applyBorder="1" applyProtection="1"/>
    <xf numFmtId="0" fontId="4" fillId="2" borderId="16" xfId="1" applyFont="1" applyBorder="1" applyAlignment="1" applyProtection="1">
      <alignment horizontal="center" vertical="center"/>
    </xf>
    <xf numFmtId="0" fontId="1" fillId="2" borderId="20" xfId="1" applyBorder="1" applyProtection="1">
      <protection hidden="1"/>
    </xf>
    <xf numFmtId="0" fontId="4" fillId="2" borderId="25" xfId="1" applyFont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3" fillId="6" borderId="2" xfId="0" applyFont="1" applyFill="1" applyBorder="1" applyAlignment="1" applyProtection="1">
      <alignment horizontal="center" vertical="center"/>
      <protection hidden="1"/>
    </xf>
    <xf numFmtId="0" fontId="3" fillId="6" borderId="14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 wrapText="1"/>
      <protection hidden="1"/>
    </xf>
    <xf numFmtId="0" fontId="1" fillId="2" borderId="27" xfId="1" applyBorder="1" applyProtection="1">
      <protection hidden="1"/>
    </xf>
    <xf numFmtId="0" fontId="4" fillId="2" borderId="16" xfId="1" applyFont="1" applyBorder="1" applyAlignment="1" applyProtection="1">
      <alignment horizontal="center" vertical="center"/>
      <protection hidden="1"/>
    </xf>
    <xf numFmtId="0" fontId="2" fillId="3" borderId="21" xfId="2" applyBorder="1" applyAlignment="1" applyProtection="1">
      <alignment horizontal="center"/>
      <protection hidden="1"/>
    </xf>
    <xf numFmtId="0" fontId="2" fillId="3" borderId="22" xfId="2" applyBorder="1" applyAlignment="1" applyProtection="1">
      <alignment horizontal="center"/>
      <protection hidden="1"/>
    </xf>
    <xf numFmtId="0" fontId="2" fillId="3" borderId="12" xfId="2" applyBorder="1" applyAlignment="1" applyProtection="1">
      <alignment horizontal="center"/>
      <protection hidden="1"/>
    </xf>
    <xf numFmtId="0" fontId="2" fillId="3" borderId="15" xfId="2" applyBorder="1" applyAlignment="1" applyProtection="1">
      <alignment horizontal="center"/>
      <protection hidden="1"/>
    </xf>
    <xf numFmtId="0" fontId="7" fillId="9" borderId="12" xfId="2" applyFont="1" applyFill="1" applyBorder="1" applyAlignment="1" applyProtection="1">
      <alignment horizontal="center"/>
      <protection hidden="1"/>
    </xf>
    <xf numFmtId="0" fontId="1" fillId="2" borderId="26" xfId="1" applyBorder="1" applyProtection="1">
      <protection hidden="1"/>
    </xf>
    <xf numFmtId="0" fontId="4" fillId="2" borderId="28" xfId="1" applyFont="1" applyBorder="1" applyAlignment="1" applyProtection="1">
      <alignment horizontal="center" vertical="center"/>
      <protection hidden="1"/>
    </xf>
    <xf numFmtId="0" fontId="0" fillId="4" borderId="9" xfId="0" applyFill="1" applyBorder="1" applyProtection="1">
      <protection hidden="1"/>
    </xf>
    <xf numFmtId="0" fontId="2" fillId="3" borderId="2" xfId="2" applyBorder="1" applyAlignment="1" applyProtection="1">
      <alignment horizontal="center"/>
      <protection hidden="1"/>
    </xf>
    <xf numFmtId="0" fontId="0" fillId="4" borderId="16" xfId="0" applyFill="1" applyBorder="1" applyProtection="1">
      <protection hidden="1"/>
    </xf>
    <xf numFmtId="0" fontId="7" fillId="9" borderId="2" xfId="2" applyFont="1" applyFill="1" applyBorder="1" applyAlignment="1" applyProtection="1">
      <alignment horizontal="center"/>
      <protection hidden="1"/>
    </xf>
    <xf numFmtId="0" fontId="1" fillId="2" borderId="13" xfId="1" applyBorder="1" applyProtection="1">
      <protection hidden="1"/>
    </xf>
    <xf numFmtId="0" fontId="4" fillId="2" borderId="29" xfId="1" applyFont="1" applyBorder="1" applyAlignment="1" applyProtection="1">
      <alignment horizontal="center" vertical="center"/>
      <protection hidden="1"/>
    </xf>
    <xf numFmtId="0" fontId="0" fillId="4" borderId="17" xfId="0" applyFill="1" applyBorder="1" applyProtection="1">
      <protection hidden="1"/>
    </xf>
    <xf numFmtId="0" fontId="4" fillId="2" borderId="30" xfId="1" applyFont="1" applyBorder="1" applyAlignment="1" applyProtection="1">
      <alignment horizontal="center" vertical="center"/>
      <protection hidden="1"/>
    </xf>
    <xf numFmtId="0" fontId="1" fillId="2" borderId="31" xfId="1" applyBorder="1" applyProtection="1">
      <protection hidden="1"/>
    </xf>
    <xf numFmtId="0" fontId="4" fillId="2" borderId="37" xfId="1" applyFont="1" applyBorder="1" applyAlignment="1" applyProtection="1">
      <alignment horizontal="center" vertical="center"/>
      <protection hidden="1"/>
    </xf>
    <xf numFmtId="0" fontId="2" fillId="7" borderId="2" xfId="2" applyFill="1" applyBorder="1" applyAlignment="1" applyProtection="1">
      <alignment horizontal="center"/>
      <protection hidden="1"/>
    </xf>
    <xf numFmtId="0" fontId="2" fillId="7" borderId="4" xfId="2" applyFill="1" applyBorder="1" applyAlignment="1" applyProtection="1">
      <alignment horizontal="center"/>
      <protection hidden="1"/>
    </xf>
    <xf numFmtId="0" fontId="7" fillId="9" borderId="4" xfId="2" applyFont="1" applyFill="1" applyBorder="1" applyAlignment="1" applyProtection="1">
      <alignment horizontal="center"/>
      <protection hidden="1"/>
    </xf>
    <xf numFmtId="0" fontId="1" fillId="2" borderId="36" xfId="1" applyBorder="1" applyProtection="1">
      <protection hidden="1"/>
    </xf>
    <xf numFmtId="164" fontId="4" fillId="2" borderId="38" xfId="1" applyNumberFormat="1" applyFont="1" applyBorder="1" applyAlignment="1" applyProtection="1">
      <alignment horizontal="center" vertical="center"/>
      <protection hidden="1"/>
    </xf>
    <xf numFmtId="0" fontId="1" fillId="2" borderId="32" xfId="1" applyBorder="1" applyProtection="1">
      <protection hidden="1"/>
    </xf>
    <xf numFmtId="0" fontId="4" fillId="2" borderId="33" xfId="1" applyFont="1" applyBorder="1" applyAlignment="1" applyProtection="1">
      <alignment horizontal="center" vertical="center"/>
      <protection hidden="1"/>
    </xf>
    <xf numFmtId="0" fontId="1" fillId="2" borderId="39" xfId="1" applyBorder="1" applyProtection="1">
      <protection hidden="1"/>
    </xf>
    <xf numFmtId="164" fontId="4" fillId="9" borderId="2" xfId="1" applyNumberFormat="1" applyFont="1" applyFill="1" applyBorder="1" applyAlignment="1" applyProtection="1">
      <alignment horizontal="center" vertical="center"/>
      <protection hidden="1"/>
    </xf>
    <xf numFmtId="0" fontId="1" fillId="2" borderId="24" xfId="1" applyBorder="1" applyProtection="1">
      <protection hidden="1"/>
    </xf>
    <xf numFmtId="0" fontId="1" fillId="2" borderId="5" xfId="1" applyBorder="1" applyProtection="1">
      <protection hidden="1"/>
    </xf>
    <xf numFmtId="0" fontId="4" fillId="2" borderId="6" xfId="1" applyFont="1" applyBorder="1" applyAlignment="1" applyProtection="1">
      <alignment horizontal="center" vertical="center"/>
      <protection hidden="1"/>
    </xf>
    <xf numFmtId="0" fontId="0" fillId="4" borderId="18" xfId="0" applyFill="1" applyBorder="1" applyProtection="1">
      <protection hidden="1"/>
    </xf>
    <xf numFmtId="0" fontId="0" fillId="4" borderId="19" xfId="0" applyFill="1" applyBorder="1" applyProtection="1">
      <protection hidden="1"/>
    </xf>
    <xf numFmtId="0" fontId="0" fillId="4" borderId="11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0" fillId="0" borderId="0" xfId="0" applyProtection="1">
      <protection hidden="1"/>
    </xf>
    <xf numFmtId="0" fontId="4" fillId="10" borderId="25" xfId="1" applyFont="1" applyFill="1" applyBorder="1" applyAlignment="1" applyProtection="1">
      <alignment horizontal="center" vertical="center"/>
      <protection locked="0"/>
    </xf>
    <xf numFmtId="0" fontId="4" fillId="10" borderId="29" xfId="1" applyFont="1" applyFill="1" applyBorder="1" applyAlignment="1" applyProtection="1">
      <alignment horizontal="center" vertical="center"/>
      <protection locked="0"/>
    </xf>
    <xf numFmtId="0" fontId="4" fillId="10" borderId="16" xfId="1" applyFont="1" applyFill="1" applyBorder="1" applyAlignment="1" applyProtection="1">
      <alignment horizontal="center" vertical="center"/>
      <protection locked="0"/>
    </xf>
    <xf numFmtId="0" fontId="4" fillId="10" borderId="45" xfId="1" applyFont="1" applyFill="1" applyBorder="1" applyAlignment="1" applyProtection="1">
      <alignment horizontal="center" vertical="center"/>
      <protection locked="0"/>
    </xf>
    <xf numFmtId="0" fontId="1" fillId="2" borderId="44" xfId="1" applyBorder="1" applyProtection="1">
      <protection locked="0"/>
    </xf>
    <xf numFmtId="0" fontId="4" fillId="2" borderId="46" xfId="1" applyFont="1" applyBorder="1" applyAlignment="1" applyProtection="1">
      <alignment horizontal="center" vertical="center"/>
      <protection locked="0"/>
    </xf>
    <xf numFmtId="0" fontId="1" fillId="2" borderId="39" xfId="1" applyBorder="1" applyProtection="1">
      <protection locked="0"/>
    </xf>
    <xf numFmtId="0" fontId="4" fillId="2" borderId="37" xfId="1" applyFont="1" applyBorder="1" applyAlignment="1" applyProtection="1">
      <alignment horizontal="center" vertical="center"/>
      <protection locked="0"/>
    </xf>
    <xf numFmtId="0" fontId="1" fillId="2" borderId="13" xfId="1" applyBorder="1" applyProtection="1">
      <protection locked="0"/>
    </xf>
    <xf numFmtId="164" fontId="4" fillId="2" borderId="40" xfId="1" applyNumberFormat="1" applyFont="1" applyBorder="1" applyAlignment="1" applyProtection="1">
      <alignment horizontal="center" vertical="center"/>
      <protection locked="0"/>
    </xf>
    <xf numFmtId="0" fontId="4" fillId="10" borderId="49" xfId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10" borderId="20" xfId="1" applyFill="1" applyBorder="1" applyProtection="1"/>
    <xf numFmtId="0" fontId="1" fillId="10" borderId="13" xfId="1" applyFill="1" applyBorder="1" applyProtection="1"/>
    <xf numFmtId="0" fontId="1" fillId="10" borderId="27" xfId="1" applyFill="1" applyBorder="1" applyProtection="1"/>
    <xf numFmtId="0" fontId="1" fillId="10" borderId="43" xfId="1" applyFill="1" applyBorder="1" applyProtection="1"/>
    <xf numFmtId="0" fontId="1" fillId="10" borderId="48" xfId="1" applyFill="1" applyBorder="1" applyProtection="1"/>
    <xf numFmtId="0" fontId="3" fillId="6" borderId="2" xfId="0" applyFont="1" applyFill="1" applyBorder="1" applyAlignment="1">
      <alignment horizontal="center" vertical="center" wrapText="1"/>
    </xf>
    <xf numFmtId="0" fontId="2" fillId="3" borderId="21" xfId="2" applyBorder="1" applyAlignment="1" applyProtection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3" borderId="22" xfId="2" applyBorder="1" applyAlignment="1" applyProtection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2" fillId="3" borderId="12" xfId="2" applyBorder="1" applyAlignment="1" applyProtection="1">
      <alignment horizontal="center"/>
    </xf>
    <xf numFmtId="0" fontId="2" fillId="3" borderId="2" xfId="2" applyBorder="1" applyAlignment="1" applyProtection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2" fillId="3" borderId="15" xfId="2" applyBorder="1" applyAlignment="1" applyProtection="1">
      <alignment horizontal="center"/>
    </xf>
    <xf numFmtId="0" fontId="7" fillId="9" borderId="12" xfId="2" applyFont="1" applyFill="1" applyBorder="1" applyAlignment="1" applyProtection="1">
      <alignment horizontal="center"/>
    </xf>
    <xf numFmtId="0" fontId="7" fillId="9" borderId="2" xfId="2" applyFont="1" applyFill="1" applyBorder="1" applyAlignment="1" applyProtection="1">
      <alignment horizontal="center"/>
    </xf>
    <xf numFmtId="0" fontId="1" fillId="10" borderId="26" xfId="1" applyFill="1" applyBorder="1" applyProtection="1"/>
    <xf numFmtId="0" fontId="4" fillId="10" borderId="28" xfId="1" applyFont="1" applyFill="1" applyBorder="1" applyAlignment="1" applyProtection="1">
      <alignment horizontal="center" vertical="center"/>
      <protection locked="0"/>
    </xf>
    <xf numFmtId="0" fontId="0" fillId="0" borderId="50" xfId="0" applyBorder="1"/>
    <xf numFmtId="0" fontId="0" fillId="0" borderId="51" xfId="0" applyBorder="1" applyProtection="1">
      <protection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 applyProtection="1">
      <alignment horizontal="center" vertical="center" wrapText="1"/>
      <protection hidden="1"/>
    </xf>
    <xf numFmtId="0" fontId="11" fillId="0" borderId="52" xfId="0" applyFont="1" applyBorder="1" applyAlignment="1" applyProtection="1">
      <alignment horizontal="center"/>
      <protection hidden="1"/>
    </xf>
    <xf numFmtId="0" fontId="0" fillId="0" borderId="53" xfId="0" applyBorder="1" applyAlignment="1" applyProtection="1">
      <alignment horizontal="center"/>
      <protection hidden="1"/>
    </xf>
    <xf numFmtId="0" fontId="11" fillId="0" borderId="54" xfId="0" applyFont="1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0" fillId="0" borderId="0" xfId="0" applyAlignment="1" applyProtection="1">
      <alignment wrapText="1"/>
      <protection hidden="1"/>
    </xf>
    <xf numFmtId="0" fontId="14" fillId="0" borderId="56" xfId="0" applyFont="1" applyBorder="1" applyAlignment="1" applyProtection="1">
      <alignment horizontal="center" vertical="center"/>
      <protection hidden="1"/>
    </xf>
    <xf numFmtId="0" fontId="14" fillId="0" borderId="57" xfId="0" applyFont="1" applyBorder="1" applyAlignment="1" applyProtection="1">
      <alignment horizontal="center"/>
      <protection hidden="1"/>
    </xf>
    <xf numFmtId="0" fontId="3" fillId="8" borderId="3" xfId="0" applyFont="1" applyFill="1" applyBorder="1" applyAlignment="1" applyProtection="1">
      <alignment horizontal="center"/>
      <protection hidden="1"/>
    </xf>
    <xf numFmtId="0" fontId="3" fillId="8" borderId="14" xfId="0" applyFont="1" applyFill="1" applyBorder="1" applyAlignment="1" applyProtection="1">
      <alignment horizontal="center"/>
      <protection hidden="1"/>
    </xf>
    <xf numFmtId="0" fontId="3" fillId="8" borderId="4" xfId="0" applyFont="1" applyFill="1" applyBorder="1" applyAlignment="1" applyProtection="1">
      <alignment horizontal="center"/>
      <protection hidden="1"/>
    </xf>
    <xf numFmtId="0" fontId="8" fillId="2" borderId="23" xfId="1" applyFont="1" applyBorder="1" applyAlignment="1" applyProtection="1">
      <alignment horizontal="center"/>
      <protection hidden="1"/>
    </xf>
    <xf numFmtId="0" fontId="9" fillId="2" borderId="15" xfId="1" applyFont="1" applyBorder="1" applyAlignment="1" applyProtection="1">
      <alignment horizontal="center"/>
      <protection hidden="1"/>
    </xf>
    <xf numFmtId="0" fontId="8" fillId="2" borderId="34" xfId="1" applyFont="1" applyBorder="1" applyAlignment="1" applyProtection="1">
      <alignment horizontal="center"/>
      <protection hidden="1"/>
    </xf>
    <xf numFmtId="0" fontId="9" fillId="2" borderId="35" xfId="1" applyFont="1" applyBorder="1" applyAlignment="1" applyProtection="1">
      <alignment horizontal="center"/>
      <protection hidden="1"/>
    </xf>
    <xf numFmtId="0" fontId="3" fillId="5" borderId="3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8" fillId="10" borderId="23" xfId="1" applyFont="1" applyFill="1" applyBorder="1" applyAlignment="1" applyProtection="1">
      <alignment horizontal="center"/>
    </xf>
    <xf numFmtId="0" fontId="9" fillId="10" borderId="15" xfId="1" applyFont="1" applyFill="1" applyBorder="1" applyAlignment="1" applyProtection="1">
      <alignment horizontal="center"/>
    </xf>
    <xf numFmtId="0" fontId="8" fillId="10" borderId="41" xfId="1" applyFont="1" applyFill="1" applyBorder="1" applyAlignment="1" applyProtection="1">
      <alignment horizontal="center"/>
    </xf>
    <xf numFmtId="0" fontId="9" fillId="10" borderId="42" xfId="1" applyFont="1" applyFill="1" applyBorder="1" applyAlignment="1" applyProtection="1">
      <alignment horizontal="center"/>
    </xf>
  </cellXfs>
  <cellStyles count="3">
    <cellStyle name="Calculation" xfId="2" builtinId="22"/>
    <cellStyle name="Input" xfId="1" builtinId="20"/>
    <cellStyle name="Normal" xfId="0" builtinId="0"/>
  </cellStyles>
  <dxfs count="20"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DD7EE"/>
      <color rgb="FF8497B0"/>
      <color rgb="FFBFDBAD"/>
      <color rgb="FFFF9999"/>
      <color rgb="FFFFA3A3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141009</xdr:rowOff>
    </xdr:from>
    <xdr:to>
      <xdr:col>10</xdr:col>
      <xdr:colOff>763129</xdr:colOff>
      <xdr:row>40</xdr:row>
      <xdr:rowOff>46642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0" y="0"/>
          <a:ext cx="19132772" cy="0"/>
          <a:chOff x="0" y="2767854"/>
          <a:chExt cx="17101305" cy="3654934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2767854"/>
            <a:ext cx="10110611" cy="3654934"/>
          </a:xfrm>
          <a:prstGeom prst="rect">
            <a:avLst/>
          </a:prstGeom>
        </xdr:spPr>
      </xdr:pic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5277971" y="4277950"/>
            <a:ext cx="7997548" cy="10728"/>
          </a:xfrm>
          <a:prstGeom prst="straightConnector1">
            <a:avLst/>
          </a:prstGeom>
          <a:ln w="190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flipH="1">
            <a:off x="5894955" y="5231202"/>
            <a:ext cx="3542737" cy="1484"/>
          </a:xfrm>
          <a:prstGeom prst="straightConnector1">
            <a:avLst/>
          </a:prstGeom>
          <a:ln w="190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3195335" y="4119813"/>
            <a:ext cx="3905970" cy="1261897"/>
          </a:xfrm>
          <a:prstGeom prst="rect">
            <a:avLst/>
          </a:prstGeom>
          <a:solidFill>
            <a:schemeClr val="lt1"/>
          </a:solidFill>
          <a:ln w="381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1100" b="1"/>
              <a:t>Rstring:</a:t>
            </a:r>
          </a:p>
          <a:p>
            <a:pPr algn="l"/>
            <a:r>
              <a:rPr lang="en-US" sz="1100" b="1"/>
              <a:t>→</a:t>
            </a:r>
            <a:r>
              <a:rPr lang="en-US" sz="1100" b="0"/>
              <a:t> Split into </a:t>
            </a:r>
            <a:r>
              <a:rPr lang="en-US" sz="1100" b="1">
                <a:solidFill>
                  <a:srgbClr val="7030A0"/>
                </a:solidFill>
              </a:rPr>
              <a:t>Res1</a:t>
            </a:r>
            <a:r>
              <a:rPr lang="en-US" sz="1100" b="0"/>
              <a:t> and </a:t>
            </a:r>
            <a:r>
              <a:rPr lang="en-US" sz="1100" b="1">
                <a:solidFill>
                  <a:srgbClr val="7030A0"/>
                </a:solidFill>
              </a:rPr>
              <a:t>Res2</a:t>
            </a:r>
            <a:r>
              <a:rPr lang="en-US" sz="1100" b="0"/>
              <a:t> resistors </a:t>
            </a:r>
          </a:p>
          <a:p>
            <a:pPr algn="l"/>
            <a:r>
              <a:rPr lang="en-US" sz="1100" b="1"/>
              <a:t>→</a:t>
            </a:r>
            <a:r>
              <a:rPr lang="en-US" sz="1100" b="0"/>
              <a:t> </a:t>
            </a:r>
            <a:r>
              <a:rPr lang="en-US" sz="1100" b="1">
                <a:solidFill>
                  <a:srgbClr val="7030A0"/>
                </a:solidFill>
              </a:rPr>
              <a:t>Res1:</a:t>
            </a:r>
            <a:r>
              <a:rPr lang="en-US" sz="1100" b="0" baseline="0">
                <a:solidFill>
                  <a:srgbClr val="7030A0"/>
                </a:solidFill>
              </a:rPr>
              <a:t> </a:t>
            </a:r>
            <a:r>
              <a:rPr lang="en-US" sz="1100" b="0" baseline="0"/>
              <a:t>Series resistors connected from </a:t>
            </a:r>
            <a:r>
              <a:rPr lang="en-US" sz="1100" b="1" i="1" baseline="0"/>
              <a:t>S1</a:t>
            </a:r>
            <a:r>
              <a:rPr lang="en-US" sz="1100" b="0" baseline="0"/>
              <a:t> to </a:t>
            </a:r>
            <a:r>
              <a:rPr lang="en-US" sz="1100" b="1" i="1" baseline="0"/>
              <a:t>Vhipot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→</a:t>
            </a:r>
            <a:r>
              <a:rPr lang="en-US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100" b="1">
                <a:solidFill>
                  <a:srgbClr val="7030A0"/>
                </a:solidFill>
                <a:effectLst/>
                <a:latin typeface="+mn-lt"/>
                <a:ea typeface="+mn-ea"/>
                <a:cs typeface="+mn-cs"/>
              </a:rPr>
              <a:t>Res2:</a:t>
            </a:r>
            <a:r>
              <a:rPr lang="en-US" sz="1100" b="0" baseline="0">
                <a:solidFill>
                  <a:srgbClr val="7030A0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Parallel resistors connected from </a:t>
            </a:r>
            <a:r>
              <a:rPr lang="en-US" sz="1100" b="1" i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S2</a:t>
            </a:r>
            <a:r>
              <a:rPr lang="en-US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to </a:t>
            </a:r>
            <a:r>
              <a:rPr lang="en-US" sz="1100" b="1" i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HVGND</a:t>
            </a:r>
            <a:endParaRPr lang="en-US" sz="1100" b="1" i="1" baseline="0"/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9292848" y="4881937"/>
            <a:ext cx="3820142" cy="773575"/>
          </a:xfrm>
          <a:prstGeom prst="rect">
            <a:avLst/>
          </a:prstGeom>
          <a:solidFill>
            <a:schemeClr val="lt1"/>
          </a:solidFill>
          <a:ln w="381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>
                <a:solidFill>
                  <a:schemeClr val="accent1">
                    <a:lumMod val="75000"/>
                  </a:schemeClr>
                </a:solidFill>
              </a:rPr>
              <a:t>Avalanche</a:t>
            </a:r>
            <a:r>
              <a:rPr lang="en-US" sz="1100" b="1" baseline="0">
                <a:solidFill>
                  <a:schemeClr val="accent1">
                    <a:lumMod val="75000"/>
                  </a:schemeClr>
                </a:solidFill>
              </a:rPr>
              <a:t> current rating </a:t>
            </a:r>
            <a:r>
              <a:rPr lang="en-US" sz="1100" b="0" baseline="0"/>
              <a:t>to be updated for </a:t>
            </a:r>
            <a:r>
              <a:rPr lang="en-US" sz="1100" b="1" baseline="0"/>
              <a:t>TPSI2240Q1</a:t>
            </a:r>
            <a:endParaRPr lang="en-US" sz="11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862853</xdr:colOff>
          <xdr:row>17</xdr:row>
          <xdr:rowOff>14379</xdr:rowOff>
        </xdr:from>
        <xdr:to>
          <xdr:col>3</xdr:col>
          <xdr:colOff>1392782</xdr:colOff>
          <xdr:row>38</xdr:row>
          <xdr:rowOff>36792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25F39DCD-8335-7578-71C9-7C3BED7AE1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5F0F-46CA-484E-B292-5D2F75064705}">
  <dimension ref="A1:L42"/>
  <sheetViews>
    <sheetView topLeftCell="A43" zoomScale="70" zoomScaleNormal="100" workbookViewId="0">
      <selection activeCell="A20" sqref="A20:XFD42"/>
    </sheetView>
  </sheetViews>
  <sheetFormatPr defaultRowHeight="14.5" x14ac:dyDescent="0.35"/>
  <cols>
    <col min="1" max="1" width="28.1796875" bestFit="1" customWidth="1"/>
    <col min="2" max="2" width="12" bestFit="1" customWidth="1"/>
    <col min="3" max="3" width="19.453125" bestFit="1" customWidth="1"/>
    <col min="4" max="4" width="40.453125" bestFit="1" customWidth="1"/>
    <col min="5" max="5" width="20.1796875" bestFit="1" customWidth="1"/>
    <col min="6" max="6" width="20.7265625" bestFit="1" customWidth="1"/>
    <col min="7" max="7" width="37.90625" bestFit="1" customWidth="1"/>
    <col min="8" max="8" width="28.54296875" bestFit="1" customWidth="1"/>
    <col min="9" max="9" width="27.54296875" bestFit="1" customWidth="1"/>
    <col min="10" max="10" width="27.90625" bestFit="1" customWidth="1"/>
    <col min="11" max="11" width="26.54296875" bestFit="1" customWidth="1"/>
    <col min="12" max="12" width="27" bestFit="1" customWidth="1"/>
    <col min="13" max="13" width="18.6328125" customWidth="1"/>
    <col min="14" max="14" width="35.81640625" customWidth="1"/>
    <col min="15" max="15" width="21.6328125" bestFit="1" customWidth="1"/>
    <col min="16" max="16" width="12.36328125" bestFit="1" customWidth="1"/>
    <col min="17" max="17" width="13.90625" customWidth="1"/>
    <col min="18" max="18" width="15.90625" bestFit="1" customWidth="1"/>
    <col min="19" max="19" width="15.26953125" customWidth="1"/>
    <col min="20" max="20" width="19.453125" customWidth="1"/>
    <col min="21" max="21" width="18.54296875" bestFit="1" customWidth="1"/>
    <col min="22" max="22" width="24.26953125" customWidth="1"/>
    <col min="23" max="23" width="27.36328125" bestFit="1" customWidth="1"/>
    <col min="24" max="24" width="24.26953125" bestFit="1" customWidth="1"/>
    <col min="25" max="25" width="23.1796875" customWidth="1"/>
    <col min="26" max="26" width="22.36328125" customWidth="1"/>
    <col min="27" max="27" width="25.36328125" bestFit="1" customWidth="1"/>
    <col min="28" max="28" width="24.36328125" customWidth="1"/>
    <col min="29" max="29" width="21.36328125" customWidth="1"/>
    <col min="30" max="30" width="17.54296875" customWidth="1"/>
    <col min="31" max="31" width="18.26953125" customWidth="1"/>
    <col min="32" max="32" width="18.36328125" bestFit="1" customWidth="1"/>
    <col min="33" max="33" width="10.90625" bestFit="1" customWidth="1"/>
    <col min="35" max="35" width="13.26953125" customWidth="1"/>
  </cols>
  <sheetData>
    <row r="1" spans="1:12" ht="15" hidden="1" thickBot="1" x14ac:dyDescent="0.4">
      <c r="A1" s="96" t="s">
        <v>0</v>
      </c>
      <c r="B1" s="97"/>
      <c r="C1" s="89" t="s">
        <v>6</v>
      </c>
      <c r="D1" s="90"/>
      <c r="E1" s="90"/>
      <c r="F1" s="90"/>
      <c r="G1" s="90"/>
      <c r="H1" s="90"/>
      <c r="I1" s="90"/>
      <c r="J1" s="90"/>
      <c r="K1" s="90"/>
      <c r="L1" s="91"/>
    </row>
    <row r="2" spans="1:12" ht="41.5" hidden="1" customHeight="1" thickBot="1" x14ac:dyDescent="0.4">
      <c r="A2" s="3" t="s">
        <v>1</v>
      </c>
      <c r="B2" s="4">
        <v>4.3</v>
      </c>
      <c r="C2" s="5" t="s">
        <v>9</v>
      </c>
      <c r="D2" s="5" t="s">
        <v>10</v>
      </c>
      <c r="E2" s="6" t="s">
        <v>14</v>
      </c>
      <c r="F2" s="6" t="s">
        <v>8</v>
      </c>
      <c r="G2" s="7" t="s">
        <v>12</v>
      </c>
      <c r="H2" s="5" t="s">
        <v>11</v>
      </c>
      <c r="I2" s="8" t="s">
        <v>13</v>
      </c>
      <c r="J2" s="6" t="s">
        <v>15</v>
      </c>
      <c r="K2" s="5" t="s">
        <v>16</v>
      </c>
      <c r="L2" s="8" t="s">
        <v>17</v>
      </c>
    </row>
    <row r="3" spans="1:12" ht="15" hidden="1" thickBot="1" x14ac:dyDescent="0.4">
      <c r="A3" s="9" t="s">
        <v>2</v>
      </c>
      <c r="B3" s="10">
        <v>1.3</v>
      </c>
      <c r="C3" s="11">
        <f>B4*POWER(10,-3)</f>
        <v>1E-3</v>
      </c>
      <c r="D3" s="11">
        <f>(B2*POWER(10,3))/(E3+F3)</f>
        <v>1.4243750000000001E-3</v>
      </c>
      <c r="E3" s="11">
        <f>((B2-B3)*POWER(10,3))/(B4*POWER(10,-3))</f>
        <v>3000000</v>
      </c>
      <c r="F3" s="12">
        <f>E3/(B17-1)</f>
        <v>18867.924528301886</v>
      </c>
      <c r="G3" s="13">
        <f>POWER(D3,2)*E3</f>
        <v>6.0865324218750008</v>
      </c>
      <c r="H3" s="13">
        <f>ROUND((((E3/(E3+F3))*(B2*POWER(10,3)))/B6),0)+1</f>
        <v>12</v>
      </c>
      <c r="I3" s="14">
        <f>ROUND(G3/B7,0)+3</f>
        <v>9</v>
      </c>
      <c r="J3" s="15">
        <f>MAX(I3,H3)</f>
        <v>12</v>
      </c>
      <c r="K3" s="13">
        <f>((E3/(E3+F3))*(B2*POWER(10,3)))/J3</f>
        <v>356.09375</v>
      </c>
      <c r="L3" s="13">
        <f>K3*D3</f>
        <v>0.50721103515624999</v>
      </c>
    </row>
    <row r="4" spans="1:12" ht="29.5" hidden="1" thickBot="1" x14ac:dyDescent="0.4">
      <c r="A4" s="16" t="s">
        <v>3</v>
      </c>
      <c r="B4" s="17">
        <v>1</v>
      </c>
      <c r="C4" s="18"/>
      <c r="D4" s="18"/>
      <c r="E4" s="18"/>
      <c r="F4" s="18"/>
      <c r="G4" s="19">
        <f>((E3/(E3+F3))*(B2*POWER(10,3)))*(D3)</f>
        <v>6.0865324218750008</v>
      </c>
      <c r="H4" s="18"/>
      <c r="I4" s="18"/>
      <c r="J4" s="6" t="s">
        <v>20</v>
      </c>
      <c r="K4" s="5" t="s">
        <v>18</v>
      </c>
      <c r="L4" s="8" t="s">
        <v>19</v>
      </c>
    </row>
    <row r="5" spans="1:12" ht="15" hidden="1" thickBot="1" x14ac:dyDescent="0.4">
      <c r="A5" s="92" t="s">
        <v>21</v>
      </c>
      <c r="B5" s="93"/>
      <c r="C5" s="18"/>
      <c r="D5" s="18"/>
      <c r="E5" s="18"/>
      <c r="F5" s="18"/>
      <c r="G5" s="20"/>
      <c r="H5" s="18"/>
      <c r="I5" s="18"/>
      <c r="J5" s="21">
        <f>2</f>
        <v>2</v>
      </c>
      <c r="K5" s="19">
        <f>((F3/(F3+E3))*(B2*POWER(10,3)))</f>
        <v>26.875</v>
      </c>
      <c r="L5" s="19">
        <f>K5*(D3/J5)</f>
        <v>1.9140039062500003E-2</v>
      </c>
    </row>
    <row r="6" spans="1:12" hidden="1" x14ac:dyDescent="0.35">
      <c r="A6" s="22" t="s">
        <v>4</v>
      </c>
      <c r="B6" s="23">
        <v>400</v>
      </c>
      <c r="C6" s="18"/>
      <c r="D6" s="18"/>
      <c r="E6" s="18"/>
      <c r="F6" s="18"/>
      <c r="G6" s="20"/>
      <c r="H6" s="18"/>
      <c r="I6" s="18"/>
      <c r="J6" s="18"/>
      <c r="K6" s="24"/>
      <c r="L6" s="18"/>
    </row>
    <row r="7" spans="1:12" ht="15" hidden="1" thickBot="1" x14ac:dyDescent="0.4">
      <c r="A7" s="9" t="s">
        <v>5</v>
      </c>
      <c r="B7" s="10">
        <v>1</v>
      </c>
      <c r="C7" s="18"/>
      <c r="D7" s="18"/>
      <c r="E7" s="18"/>
      <c r="F7" s="18"/>
      <c r="G7" s="20"/>
      <c r="H7" s="18"/>
      <c r="I7" s="18"/>
      <c r="J7" s="18"/>
      <c r="K7" s="24"/>
      <c r="L7" s="18"/>
    </row>
    <row r="8" spans="1:12" ht="44" hidden="1" thickBot="1" x14ac:dyDescent="0.4">
      <c r="A8" s="9" t="s">
        <v>23</v>
      </c>
      <c r="B8" s="25">
        <v>5</v>
      </c>
      <c r="C8" s="18"/>
      <c r="D8" s="18"/>
      <c r="E8" s="18"/>
      <c r="F8" s="18"/>
      <c r="G8" s="20"/>
      <c r="H8" s="18"/>
      <c r="I8" s="18"/>
      <c r="J8" s="5" t="s">
        <v>27</v>
      </c>
      <c r="K8" s="8" t="s">
        <v>29</v>
      </c>
      <c r="L8" s="8" t="s">
        <v>25</v>
      </c>
    </row>
    <row r="9" spans="1:12" ht="15" hidden="1" thickBot="1" x14ac:dyDescent="0.4">
      <c r="A9" s="26" t="s">
        <v>24</v>
      </c>
      <c r="B9" s="27">
        <v>2.5</v>
      </c>
      <c r="C9" s="18"/>
      <c r="D9" s="18"/>
      <c r="E9" s="18"/>
      <c r="F9" s="18"/>
      <c r="G9" s="20"/>
      <c r="H9" s="18"/>
      <c r="I9" s="18"/>
      <c r="J9" s="28">
        <f>B9*J3</f>
        <v>30</v>
      </c>
      <c r="K9" s="29">
        <f>B8</f>
        <v>5</v>
      </c>
      <c r="L9" s="30">
        <f>J9*K9</f>
        <v>150</v>
      </c>
    </row>
    <row r="10" spans="1:12" ht="15" hidden="1" thickBot="1" x14ac:dyDescent="0.4">
      <c r="A10" s="31" t="s">
        <v>31</v>
      </c>
      <c r="B10" s="32">
        <v>0.14521999999999999</v>
      </c>
      <c r="C10" s="18"/>
      <c r="D10" s="18"/>
      <c r="E10" s="18"/>
      <c r="F10" s="18"/>
      <c r="G10" s="20"/>
      <c r="H10" s="18"/>
      <c r="I10" s="18"/>
      <c r="J10" s="18"/>
      <c r="K10" s="18"/>
      <c r="L10" s="18"/>
    </row>
    <row r="11" spans="1:12" ht="44" hidden="1" thickBot="1" x14ac:dyDescent="0.4">
      <c r="A11" s="94" t="s">
        <v>22</v>
      </c>
      <c r="B11" s="95"/>
      <c r="C11" s="18"/>
      <c r="D11" s="18"/>
      <c r="E11" s="18"/>
      <c r="F11" s="18"/>
      <c r="G11" s="20"/>
      <c r="H11" s="18"/>
      <c r="I11" s="18"/>
      <c r="J11" s="5" t="s">
        <v>28</v>
      </c>
      <c r="K11" s="8" t="s">
        <v>30</v>
      </c>
      <c r="L11" s="8" t="s">
        <v>26</v>
      </c>
    </row>
    <row r="12" spans="1:12" ht="15" hidden="1" thickBot="1" x14ac:dyDescent="0.4">
      <c r="A12" s="22" t="s">
        <v>4</v>
      </c>
      <c r="B12" s="10">
        <v>75</v>
      </c>
      <c r="C12" s="18"/>
      <c r="D12" s="18"/>
      <c r="E12" s="18"/>
      <c r="F12" s="18"/>
      <c r="G12" s="20"/>
      <c r="H12" s="18"/>
      <c r="I12" s="18"/>
      <c r="J12" s="28">
        <f>B15*J5</f>
        <v>1.6</v>
      </c>
      <c r="K12" s="29">
        <f>B14</f>
        <v>1.6</v>
      </c>
      <c r="L12" s="30">
        <f>J12*K12</f>
        <v>2.5600000000000005</v>
      </c>
    </row>
    <row r="13" spans="1:12" ht="15" hidden="1" thickBot="1" x14ac:dyDescent="0.4">
      <c r="A13" s="33" t="s">
        <v>5</v>
      </c>
      <c r="B13" s="34">
        <v>0.1</v>
      </c>
      <c r="C13" s="18"/>
      <c r="D13" s="18"/>
      <c r="E13" s="18"/>
      <c r="F13" s="18"/>
      <c r="G13" s="20"/>
      <c r="H13" s="18"/>
      <c r="I13" s="18"/>
      <c r="J13" s="18"/>
      <c r="K13" s="24"/>
      <c r="L13" s="18"/>
    </row>
    <row r="14" spans="1:12" ht="29.5" hidden="1" thickBot="1" x14ac:dyDescent="0.4">
      <c r="A14" s="33" t="s">
        <v>23</v>
      </c>
      <c r="B14" s="34">
        <v>1.6</v>
      </c>
      <c r="C14" s="18"/>
      <c r="D14" s="18"/>
      <c r="E14" s="18"/>
      <c r="F14" s="18"/>
      <c r="G14" s="20"/>
      <c r="H14" s="18"/>
      <c r="I14" s="18"/>
      <c r="J14" s="18"/>
      <c r="K14" s="24"/>
      <c r="L14" s="5" t="s">
        <v>32</v>
      </c>
    </row>
    <row r="15" spans="1:12" ht="15" hidden="1" thickBot="1" x14ac:dyDescent="0.4">
      <c r="A15" s="35" t="s">
        <v>24</v>
      </c>
      <c r="B15" s="27">
        <v>0.8</v>
      </c>
      <c r="C15" s="18"/>
      <c r="D15" s="18"/>
      <c r="E15" s="18"/>
      <c r="F15" s="18"/>
      <c r="G15" s="20"/>
      <c r="H15" s="18"/>
      <c r="I15" s="18"/>
      <c r="J15" s="18"/>
      <c r="K15" s="18"/>
      <c r="L15" s="36">
        <f>B10*J3</f>
        <v>1.7426399999999997</v>
      </c>
    </row>
    <row r="16" spans="1:12" ht="15" hidden="1" thickBot="1" x14ac:dyDescent="0.4">
      <c r="A16" s="37" t="s">
        <v>34</v>
      </c>
      <c r="B16" s="32">
        <v>3.6420000000000001E-2</v>
      </c>
      <c r="C16" s="18"/>
      <c r="D16" s="18"/>
      <c r="E16" s="18"/>
      <c r="F16" s="18"/>
      <c r="G16" s="20"/>
      <c r="H16" s="18"/>
      <c r="I16" s="18"/>
      <c r="J16" s="18"/>
      <c r="K16" s="18"/>
      <c r="L16" s="18"/>
    </row>
    <row r="17" spans="1:12" ht="29.5" hidden="1" thickBot="1" x14ac:dyDescent="0.4">
      <c r="A17" s="38" t="s">
        <v>7</v>
      </c>
      <c r="B17" s="39">
        <v>160</v>
      </c>
      <c r="C17" s="18"/>
      <c r="D17" s="18"/>
      <c r="E17" s="18"/>
      <c r="F17" s="18"/>
      <c r="G17" s="20"/>
      <c r="H17" s="18"/>
      <c r="I17" s="18"/>
      <c r="J17" s="18"/>
      <c r="K17" s="18"/>
      <c r="L17" s="5" t="s">
        <v>33</v>
      </c>
    </row>
    <row r="18" spans="1:12" ht="15" hidden="1" thickBot="1" x14ac:dyDescent="0.4">
      <c r="A18" s="40"/>
      <c r="B18" s="41"/>
      <c r="C18" s="20"/>
      <c r="D18" s="18"/>
      <c r="E18" s="18"/>
      <c r="F18" s="18"/>
      <c r="G18" s="20"/>
      <c r="H18" s="18"/>
      <c r="I18" s="18"/>
      <c r="J18" s="18"/>
      <c r="K18" s="18"/>
      <c r="L18" s="36">
        <f>B16*J5</f>
        <v>7.2840000000000002E-2</v>
      </c>
    </row>
    <row r="19" spans="1:12" ht="15" hidden="1" thickBot="1" x14ac:dyDescent="0.4">
      <c r="A19" s="42"/>
      <c r="B19" s="43"/>
      <c r="C19" s="44"/>
      <c r="D19" s="45"/>
      <c r="E19" s="45"/>
      <c r="F19" s="45"/>
      <c r="G19" s="44"/>
      <c r="H19" s="45"/>
      <c r="I19" s="45"/>
      <c r="J19" s="45"/>
      <c r="K19" s="45"/>
      <c r="L19" s="45"/>
    </row>
    <row r="20" spans="1:12" hidden="1" x14ac:dyDescent="0.3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2" hidden="1" x14ac:dyDescent="0.3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1:12" hidden="1" x14ac:dyDescent="0.3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hidden="1" x14ac:dyDescent="0.3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1:12" hidden="1" x14ac:dyDescent="0.3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idden="1" x14ac:dyDescent="0.3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2" hidden="1" x14ac:dyDescent="0.3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hidden="1" x14ac:dyDescent="0.3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2" hidden="1" x14ac:dyDescent="0.3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</row>
    <row r="29" spans="1:12" hidden="1" x14ac:dyDescent="0.3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1:12" hidden="1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2" hidden="1" x14ac:dyDescent="0.3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</row>
    <row r="32" spans="1:12" hidden="1" x14ac:dyDescent="0.3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</row>
    <row r="33" spans="1:12" hidden="1" x14ac:dyDescent="0.3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  <row r="34" spans="1:12" hidden="1" x14ac:dyDescent="0.3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</row>
    <row r="35" spans="1:12" hidden="1" x14ac:dyDescent="0.35"/>
    <row r="36" spans="1:12" hidden="1" x14ac:dyDescent="0.35"/>
    <row r="37" spans="1:12" hidden="1" x14ac:dyDescent="0.35"/>
    <row r="38" spans="1:12" ht="76.5" hidden="1" customHeight="1" x14ac:dyDescent="0.35"/>
    <row r="39" spans="1:12" ht="73" hidden="1" customHeight="1" x14ac:dyDescent="0.35"/>
    <row r="40" spans="1:12" ht="30" hidden="1" customHeight="1" x14ac:dyDescent="0.35"/>
    <row r="41" spans="1:12" ht="27" hidden="1" customHeight="1" x14ac:dyDescent="0.35"/>
    <row r="42" spans="1:12" ht="14.5" hidden="1" customHeight="1" x14ac:dyDescent="0.35"/>
  </sheetData>
  <sheetProtection algorithmName="SHA-512" hashValue="dWyEqEZ9qxKuEO7ZWWofg19xGFFEa3KFI4LItXsRQvaqpANY3CAhG1QeoasaB9cql5ipxnbGWMs4Bz2b/60M/Q==" saltValue="IRgdQqvgdudKGPdC1v64OA==" spinCount="100000" sheet="1" objects="1" scenarios="1" selectLockedCells="1" selectUnlockedCells="1"/>
  <mergeCells count="4">
    <mergeCell ref="C1:L1"/>
    <mergeCell ref="A5:B5"/>
    <mergeCell ref="A11:B11"/>
    <mergeCell ref="A1:B1"/>
  </mergeCells>
  <conditionalFormatting sqref="K3">
    <cfRule type="cellIs" dxfId="19" priority="9" operator="lessThan">
      <formula>$B$6</formula>
    </cfRule>
    <cfRule type="cellIs" dxfId="18" priority="10" operator="greaterThanOrEqual">
      <formula>$B$6</formula>
    </cfRule>
  </conditionalFormatting>
  <conditionalFormatting sqref="K5">
    <cfRule type="cellIs" dxfId="17" priority="3" operator="lessThan">
      <formula>$B$12</formula>
    </cfRule>
    <cfRule type="cellIs" dxfId="16" priority="4" operator="greaterThanOrEqual">
      <formula>$B$12</formula>
    </cfRule>
  </conditionalFormatting>
  <conditionalFormatting sqref="L3">
    <cfRule type="cellIs" dxfId="15" priority="5" operator="lessThan">
      <formula>$B$7</formula>
    </cfRule>
    <cfRule type="cellIs" dxfId="14" priority="6" operator="greaterThanOrEqual">
      <formula>$B$7</formula>
    </cfRule>
  </conditionalFormatting>
  <conditionalFormatting sqref="L5">
    <cfRule type="cellIs" dxfId="13" priority="1" operator="lessThan">
      <formula>$B$13</formula>
    </cfRule>
    <cfRule type="cellIs" dxfId="12" priority="2" operator="greaterThanOrEqual">
      <formula>$B$13</formula>
    </cfRule>
  </conditionalFormatting>
  <dataValidations count="8">
    <dataValidation type="decimal" allowBlank="1" showInputMessage="1" showErrorMessage="1" errorTitle="Max Avalanche Current Rating" error="Inputed Avalanche Current exceeds max avalanche current specification (3mA)" sqref="B4" xr:uid="{E147DD04-15B0-465C-B341-CA79A13FBAED}">
      <formula1>0.1</formula1>
      <formula2>3</formula2>
    </dataValidation>
    <dataValidation type="whole" allowBlank="1" showInputMessage="1" showErrorMessage="1" errorTitle="Resistor Voltage Rating" error="Please select between resistors with voltage ratings of 50V:800V" sqref="B6 B12" xr:uid="{35E1B213-9F41-4E86-A8A5-ECD24A655DBA}">
      <formula1>50</formula1>
      <formula2>800</formula2>
    </dataValidation>
    <dataValidation type="decimal" allowBlank="1" showInputMessage="1" showErrorMessage="1" errorTitle="Resistor Power Rating (W)" error="Inputed resistor power rating should be between 0.063W:1.0W" sqref="B13" xr:uid="{1E777A64-BEF9-49EE-B857-96F0B0EB3676}">
      <formula1>0.063</formula1>
      <formula2>1</formula2>
    </dataValidation>
    <dataValidation type="whole" allowBlank="1" showInputMessage="1" showErrorMessage="1" errorTitle="Resistor Divider Ratio" error="Inputed resistor divider ratio should be between 1:1000" sqref="B17" xr:uid="{BC91EB23-6B97-4A89-8CDC-822C1579CBB9}">
      <formula1>1</formula1>
      <formula2>1000</formula2>
    </dataValidation>
    <dataValidation type="decimal" allowBlank="1" showInputMessage="1" showErrorMessage="1" errorTitle="Resistor Length (mm)" error="Inputed resistor length should be between 0:10" sqref="B8 B14:B15" xr:uid="{7AB884DF-F474-4C47-AEF0-CD847DC75CB2}">
      <formula1>0</formula1>
      <formula2>10</formula2>
    </dataValidation>
    <dataValidation type="decimal" allowBlank="1" showInputMessage="1" showErrorMessage="1" errorTitle="Resistor Width (mm)" error="Inputed resistor width should be between 0:10" sqref="B9" xr:uid="{A62415B9-5877-4539-9A5F-593FF03A898C}">
      <formula1>0</formula1>
      <formula2>10</formula2>
    </dataValidation>
    <dataValidation type="decimal" allowBlank="1" showInputMessage="1" showErrorMessage="1" errorTitle="Resistor Power Rating (W)" error="Inputed resistor power rating should be between 0.063W:1.0W" sqref="B7" xr:uid="{18E12014-1CFC-4678-B0B1-837369B2185A}">
      <formula1>0.063</formula1>
      <formula2>1.8</formula2>
    </dataValidation>
    <dataValidation type="decimal" operator="greaterThan" allowBlank="1" showInputMessage="1" showErrorMessage="1" errorTitle="Resistor Unit Cost ($)" error="Inputed Resistor unit cost should be &gt;0 ($)" sqref="B10 B16 L15 L18" xr:uid="{79D76504-10FD-47D9-A7AA-DBEB2D5CE6F3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ED1D-EE22-4410-826A-49725DBFD997}">
  <dimension ref="A1:L28"/>
  <sheetViews>
    <sheetView tabSelected="1" zoomScale="85" zoomScaleNormal="85" workbookViewId="0">
      <selection activeCell="B15" sqref="B15"/>
    </sheetView>
  </sheetViews>
  <sheetFormatPr defaultRowHeight="14.5" x14ac:dyDescent="0.35"/>
  <cols>
    <col min="1" max="1" width="28.1796875" bestFit="1" customWidth="1"/>
    <col min="2" max="2" width="12" bestFit="1" customWidth="1"/>
    <col min="3" max="3" width="25.6328125" bestFit="1" customWidth="1"/>
    <col min="4" max="4" width="20.1796875" bestFit="1" customWidth="1"/>
    <col min="5" max="5" width="20.7265625" bestFit="1" customWidth="1"/>
    <col min="6" max="6" width="29.6328125" bestFit="1" customWidth="1"/>
    <col min="7" max="7" width="31.1796875" customWidth="1"/>
    <col min="8" max="8" width="30.08984375" customWidth="1"/>
    <col min="9" max="9" width="30.6328125" bestFit="1" customWidth="1"/>
    <col min="10" max="10" width="26.54296875" bestFit="1" customWidth="1"/>
    <col min="11" max="11" width="27" bestFit="1" customWidth="1"/>
    <col min="12" max="12" width="18.6328125" customWidth="1"/>
    <col min="13" max="13" width="35.81640625" customWidth="1"/>
    <col min="14" max="14" width="21.6328125" bestFit="1" customWidth="1"/>
    <col min="15" max="15" width="12.36328125" bestFit="1" customWidth="1"/>
    <col min="16" max="16" width="13.90625" customWidth="1"/>
    <col min="17" max="17" width="15.90625" bestFit="1" customWidth="1"/>
    <col min="18" max="18" width="15.26953125" customWidth="1"/>
    <col min="19" max="19" width="19.453125" customWidth="1"/>
    <col min="20" max="20" width="18.54296875" bestFit="1" customWidth="1"/>
    <col min="21" max="21" width="24.26953125" customWidth="1"/>
    <col min="22" max="22" width="27.36328125" bestFit="1" customWidth="1"/>
    <col min="23" max="23" width="24.26953125" bestFit="1" customWidth="1"/>
    <col min="24" max="24" width="23.1796875" customWidth="1"/>
    <col min="25" max="25" width="22.36328125" customWidth="1"/>
    <col min="26" max="26" width="25.36328125" bestFit="1" customWidth="1"/>
    <col min="27" max="27" width="24.36328125" customWidth="1"/>
    <col min="28" max="28" width="21.36328125" customWidth="1"/>
    <col min="29" max="29" width="17.54296875" customWidth="1"/>
    <col min="30" max="30" width="18.26953125" customWidth="1"/>
    <col min="31" max="31" width="18.36328125" bestFit="1" customWidth="1"/>
    <col min="32" max="32" width="10.90625" bestFit="1" customWidth="1"/>
    <col min="34" max="34" width="13.26953125" customWidth="1"/>
  </cols>
  <sheetData>
    <row r="1" spans="1:12" ht="15" thickBot="1" x14ac:dyDescent="0.4">
      <c r="A1" s="98" t="s">
        <v>0</v>
      </c>
      <c r="B1" s="99"/>
      <c r="C1" s="100" t="s">
        <v>6</v>
      </c>
      <c r="D1" s="101"/>
      <c r="E1" s="101"/>
      <c r="F1" s="101"/>
      <c r="G1" s="101"/>
      <c r="H1" s="101"/>
      <c r="I1" s="101"/>
      <c r="J1" s="101"/>
      <c r="K1" s="102"/>
      <c r="L1" s="46"/>
    </row>
    <row r="2" spans="1:12" ht="53" customHeight="1" thickBot="1" x14ac:dyDescent="0.4">
      <c r="A2" s="59" t="s">
        <v>41</v>
      </c>
      <c r="B2" s="47">
        <v>2.85</v>
      </c>
      <c r="C2" s="64" t="s">
        <v>9</v>
      </c>
      <c r="D2" s="66" t="s">
        <v>14</v>
      </c>
      <c r="E2" s="66" t="s">
        <v>8</v>
      </c>
      <c r="F2" s="68" t="s">
        <v>12</v>
      </c>
      <c r="G2" s="64" t="s">
        <v>11</v>
      </c>
      <c r="H2" s="71" t="s">
        <v>13</v>
      </c>
      <c r="I2" s="66" t="s">
        <v>35</v>
      </c>
      <c r="J2" s="64" t="s">
        <v>16</v>
      </c>
      <c r="K2" s="71" t="s">
        <v>17</v>
      </c>
      <c r="L2" s="46"/>
    </row>
    <row r="3" spans="1:12" ht="15" thickBot="1" x14ac:dyDescent="0.4">
      <c r="A3" s="1" t="s">
        <v>2</v>
      </c>
      <c r="B3" s="2">
        <v>0.65</v>
      </c>
      <c r="C3" s="65">
        <f>B4*POWER(10,-3)</f>
        <v>1E-3</v>
      </c>
      <c r="D3" s="65">
        <f>((B2-B3)*POWER(10,3))/(B4*POWER(10,-3))</f>
        <v>2200000</v>
      </c>
      <c r="E3" s="67">
        <f>D3/(B15-1)</f>
        <v>22222.222222222223</v>
      </c>
      <c r="F3" s="69">
        <f>POWER(C3,2)*D3</f>
        <v>2.1999999999999997</v>
      </c>
      <c r="G3" s="69">
        <f>ROUND(((((B2-B3)*POWER(10,3)))/B6),0)+1</f>
        <v>6</v>
      </c>
      <c r="H3" s="72">
        <f>ROUND(F3/B7,0)+1</f>
        <v>4</v>
      </c>
      <c r="I3" s="73">
        <f>MAX(H3,G3)</f>
        <v>6</v>
      </c>
      <c r="J3" s="69">
        <f>((((B2-B3)*POWER(10,3)))/I3)</f>
        <v>366.66666666666669</v>
      </c>
      <c r="K3" s="69">
        <f>J3*C3</f>
        <v>0.3666666666666667</v>
      </c>
      <c r="L3" s="46"/>
    </row>
    <row r="4" spans="1:12" ht="29.5" thickBot="1" x14ac:dyDescent="0.4">
      <c r="A4" s="75" t="s">
        <v>3</v>
      </c>
      <c r="B4" s="76">
        <v>1</v>
      </c>
      <c r="C4" s="18"/>
      <c r="D4" s="18"/>
      <c r="E4" s="18"/>
      <c r="F4" s="70">
        <f>(((B2-B3)*POWER(10,3)))*(C3)</f>
        <v>2.2000000000000002</v>
      </c>
      <c r="G4" s="18"/>
      <c r="H4" s="18"/>
      <c r="I4" s="66" t="s">
        <v>36</v>
      </c>
      <c r="J4" s="64" t="s">
        <v>18</v>
      </c>
      <c r="K4" s="71" t="s">
        <v>19</v>
      </c>
      <c r="L4" s="46"/>
    </row>
    <row r="5" spans="1:12" ht="15" thickBot="1" x14ac:dyDescent="0.4">
      <c r="A5" s="103" t="s">
        <v>21</v>
      </c>
      <c r="B5" s="104"/>
      <c r="C5" s="18"/>
      <c r="D5" s="18"/>
      <c r="E5" s="18"/>
      <c r="F5" s="20"/>
      <c r="G5" s="18"/>
      <c r="H5" s="18"/>
      <c r="I5" s="74">
        <f>2</f>
        <v>2</v>
      </c>
      <c r="J5" s="70">
        <f>((E3/(E3+D3))*((B2-B3)*POWER(10,3)))</f>
        <v>22.000000000000004</v>
      </c>
      <c r="K5" s="70">
        <f>(POWER(J5,2)/(E3*I5))</f>
        <v>1.0890000000000004E-2</v>
      </c>
      <c r="L5" s="46"/>
    </row>
    <row r="6" spans="1:12" x14ac:dyDescent="0.35">
      <c r="A6" s="60" t="s">
        <v>4</v>
      </c>
      <c r="B6" s="48">
        <v>425</v>
      </c>
      <c r="C6" s="18"/>
      <c r="D6" s="18"/>
      <c r="E6" s="18"/>
      <c r="F6" s="20"/>
      <c r="G6" s="18"/>
      <c r="H6" s="18"/>
      <c r="I6" s="18"/>
      <c r="J6" s="24"/>
      <c r="K6" s="18"/>
      <c r="L6" s="46"/>
    </row>
    <row r="7" spans="1:12" ht="15" thickBot="1" x14ac:dyDescent="0.4">
      <c r="A7" s="61" t="s">
        <v>5</v>
      </c>
      <c r="B7" s="49">
        <v>0.66</v>
      </c>
      <c r="C7" s="18"/>
      <c r="D7" s="18"/>
      <c r="E7" s="18"/>
      <c r="F7" s="20"/>
      <c r="G7" s="18"/>
      <c r="H7" s="18"/>
      <c r="I7" s="18"/>
      <c r="J7" s="24"/>
      <c r="K7" s="18"/>
      <c r="L7" s="46"/>
    </row>
    <row r="8" spans="1:12" x14ac:dyDescent="0.35">
      <c r="A8" s="105" t="s">
        <v>22</v>
      </c>
      <c r="B8" s="106"/>
      <c r="C8" s="18"/>
      <c r="D8" s="18"/>
      <c r="E8" s="18"/>
      <c r="F8" s="20"/>
      <c r="G8" s="18"/>
      <c r="H8" s="18"/>
      <c r="I8" s="18"/>
      <c r="J8" s="24"/>
      <c r="K8" s="18"/>
      <c r="L8" s="46"/>
    </row>
    <row r="9" spans="1:12" x14ac:dyDescent="0.35">
      <c r="A9" s="60" t="s">
        <v>4</v>
      </c>
      <c r="B9" s="49">
        <v>65</v>
      </c>
      <c r="C9" s="18"/>
      <c r="D9" s="18"/>
      <c r="E9" s="18"/>
      <c r="F9" s="20"/>
      <c r="G9" s="18"/>
      <c r="H9" s="18"/>
      <c r="I9" s="18"/>
      <c r="J9" s="24"/>
      <c r="K9" s="18"/>
      <c r="L9" s="46"/>
    </row>
    <row r="10" spans="1:12" ht="15" thickBot="1" x14ac:dyDescent="0.4">
      <c r="A10" s="62" t="s">
        <v>5</v>
      </c>
      <c r="B10" s="50">
        <v>0.1</v>
      </c>
      <c r="C10" s="18"/>
      <c r="D10" s="18"/>
      <c r="E10" s="18"/>
      <c r="F10" s="20"/>
      <c r="G10" s="18"/>
      <c r="H10" s="18"/>
      <c r="I10" s="18"/>
      <c r="J10" s="24"/>
      <c r="K10" s="18"/>
      <c r="L10" s="46"/>
    </row>
    <row r="11" spans="1:12" ht="15" hidden="1" thickBot="1" x14ac:dyDescent="0.4">
      <c r="A11" s="51" t="s">
        <v>23</v>
      </c>
      <c r="B11" s="52">
        <v>1.6</v>
      </c>
      <c r="C11" s="18"/>
      <c r="D11" s="18"/>
      <c r="E11" s="18"/>
      <c r="F11" s="20"/>
      <c r="G11" s="18"/>
      <c r="H11" s="18"/>
      <c r="I11" s="18"/>
      <c r="J11" s="24"/>
      <c r="K11" s="18"/>
      <c r="L11" s="46"/>
    </row>
    <row r="12" spans="1:12" ht="15" hidden="1" thickBot="1" x14ac:dyDescent="0.4">
      <c r="A12" s="53" t="s">
        <v>24</v>
      </c>
      <c r="B12" s="54">
        <v>0.8</v>
      </c>
      <c r="C12" s="18"/>
      <c r="D12" s="18"/>
      <c r="E12" s="18"/>
      <c r="F12" s="20"/>
      <c r="G12" s="18"/>
      <c r="H12" s="18"/>
      <c r="I12" s="18"/>
      <c r="J12" s="18"/>
      <c r="K12" s="18"/>
      <c r="L12" s="46"/>
    </row>
    <row r="13" spans="1:12" ht="15" hidden="1" thickBot="1" x14ac:dyDescent="0.4">
      <c r="A13" s="55" t="s">
        <v>34</v>
      </c>
      <c r="B13" s="56">
        <v>3.6420000000000001E-2</v>
      </c>
      <c r="C13" s="18"/>
      <c r="D13" s="18"/>
      <c r="E13" s="18"/>
      <c r="F13" s="20"/>
      <c r="G13" s="18"/>
      <c r="H13" s="18"/>
      <c r="I13" s="18"/>
      <c r="J13" s="18"/>
      <c r="K13" s="18"/>
      <c r="L13" s="46"/>
    </row>
    <row r="14" spans="1:12" ht="15" thickBot="1" x14ac:dyDescent="0.4">
      <c r="A14" s="24"/>
      <c r="B14" s="85"/>
      <c r="C14" s="20"/>
      <c r="D14" s="18"/>
      <c r="E14" s="18"/>
      <c r="F14" s="20"/>
      <c r="G14" s="18"/>
      <c r="H14" s="18"/>
      <c r="I14" s="18"/>
      <c r="J14" s="18"/>
      <c r="K14" s="18"/>
      <c r="L14" s="46"/>
    </row>
    <row r="15" spans="1:12" ht="15" thickBot="1" x14ac:dyDescent="0.4">
      <c r="A15" s="63" t="s">
        <v>7</v>
      </c>
      <c r="B15" s="57">
        <v>100</v>
      </c>
      <c r="C15" s="20"/>
      <c r="D15" s="18"/>
      <c r="E15" s="18"/>
      <c r="F15" s="20"/>
      <c r="G15" s="18"/>
      <c r="H15" s="18"/>
      <c r="I15" s="18"/>
      <c r="J15" s="18"/>
      <c r="K15" s="18"/>
      <c r="L15" s="46"/>
    </row>
    <row r="16" spans="1:12" ht="15" thickBot="1" x14ac:dyDescent="0.4">
      <c r="A16" s="42"/>
      <c r="B16" s="43"/>
      <c r="C16" s="44"/>
      <c r="D16" s="45"/>
      <c r="E16" s="45"/>
      <c r="F16" s="44"/>
      <c r="G16" s="45"/>
      <c r="H16" s="45"/>
      <c r="I16" s="45"/>
      <c r="J16" s="45"/>
      <c r="K16" s="45"/>
      <c r="L16" s="46"/>
    </row>
    <row r="17" spans="1:11" x14ac:dyDescent="0.35">
      <c r="A17" s="46"/>
      <c r="B17" s="46"/>
      <c r="C17" s="46"/>
      <c r="D17" s="46"/>
      <c r="E17" s="46"/>
      <c r="F17" s="46"/>
      <c r="G17" s="46"/>
      <c r="H17" s="46"/>
      <c r="I17" s="46"/>
      <c r="J17" s="86"/>
      <c r="K17" s="46"/>
    </row>
    <row r="19" spans="1:11" ht="15" thickBot="1" x14ac:dyDescent="0.4"/>
    <row r="20" spans="1:11" ht="44" thickBot="1" x14ac:dyDescent="0.4">
      <c r="F20" s="78"/>
      <c r="G20" s="79" t="s">
        <v>38</v>
      </c>
      <c r="H20" s="80" t="s">
        <v>37</v>
      </c>
    </row>
    <row r="21" spans="1:11" x14ac:dyDescent="0.35">
      <c r="E21" s="77"/>
      <c r="F21" s="81" t="s">
        <v>44</v>
      </c>
      <c r="G21" s="82" t="s">
        <v>39</v>
      </c>
      <c r="H21" s="87" t="s">
        <v>42</v>
      </c>
    </row>
    <row r="22" spans="1:11" ht="15" thickBot="1" x14ac:dyDescent="0.4">
      <c r="E22" s="77"/>
      <c r="F22" s="83" t="s">
        <v>45</v>
      </c>
      <c r="G22" s="84" t="s">
        <v>40</v>
      </c>
      <c r="H22" s="88" t="s">
        <v>43</v>
      </c>
    </row>
    <row r="28" spans="1:11" x14ac:dyDescent="0.35">
      <c r="D28" s="58"/>
    </row>
  </sheetData>
  <sheetProtection algorithmName="SHA-512" hashValue="Y2jNjmbzSJPNRHKoJjyiMm3Tvf3QFMjcP63v6nqBpq0p2Hw0Y1eyXt3qvHOWK3Ss/8SyO/50iTjvHqQu6xnw1A==" saltValue="vJWBHxtrW/dJokT65zTMsg==" spinCount="100000" sheet="1" objects="1" scenarios="1" selectLockedCells="1"/>
  <protectedRanges>
    <protectedRange algorithmName="SHA-512" hashValue="GasNIZZZ+dgEdYmR2zMzqb39Z6cj3ECHWiRwzGHBJ4Kcz+3Yc6hu0YkJvuDCQ+G17roi/DL0NvqgXnAFT7XDrA==" saltValue="jL1o3Lb18GvgFXq21YCiqA==" spinCount="100000" sqref="B2 B6:B7 B9:B10 B15" name="Inputs"/>
  </protectedRanges>
  <mergeCells count="4">
    <mergeCell ref="A1:B1"/>
    <mergeCell ref="C1:K1"/>
    <mergeCell ref="A5:B5"/>
    <mergeCell ref="A8:B8"/>
  </mergeCells>
  <conditionalFormatting sqref="H21">
    <cfRule type="expression" dxfId="1" priority="3">
      <formula>$B$4&gt;1</formula>
    </cfRule>
    <cfRule type="expression" dxfId="0" priority="4">
      <formula>B$4&lt;=1</formula>
    </cfRule>
  </conditionalFormatting>
  <conditionalFormatting sqref="H22">
    <cfRule type="expression" dxfId="11" priority="5">
      <formula>$B$4&lt;=1</formula>
    </cfRule>
    <cfRule type="expression" dxfId="10" priority="6">
      <formula>$B$4&gt;1</formula>
    </cfRule>
  </conditionalFormatting>
  <conditionalFormatting sqref="J3">
    <cfRule type="cellIs" dxfId="9" priority="14" operator="lessThan">
      <formula>$B$6</formula>
    </cfRule>
    <cfRule type="cellIs" dxfId="8" priority="15" operator="greaterThanOrEqual">
      <formula>$B$6</formula>
    </cfRule>
  </conditionalFormatting>
  <conditionalFormatting sqref="J5">
    <cfRule type="cellIs" dxfId="7" priority="10" operator="lessThan">
      <formula>$B$9</formula>
    </cfRule>
    <cfRule type="cellIs" dxfId="6" priority="11" operator="greaterThanOrEqual">
      <formula>$B$9</formula>
    </cfRule>
  </conditionalFormatting>
  <conditionalFormatting sqref="K3">
    <cfRule type="cellIs" dxfId="5" priority="12" operator="lessThan">
      <formula>$B$7</formula>
    </cfRule>
    <cfRule type="cellIs" dxfId="4" priority="13" operator="greaterThanOrEqual">
      <formula>$B$7</formula>
    </cfRule>
  </conditionalFormatting>
  <conditionalFormatting sqref="K5">
    <cfRule type="cellIs" dxfId="3" priority="8" operator="lessThan">
      <formula>$B$10</formula>
    </cfRule>
    <cfRule type="cellIs" dxfId="2" priority="9" operator="greaterThanOrEqual">
      <formula>$B$10</formula>
    </cfRule>
  </conditionalFormatting>
  <dataValidations count="7">
    <dataValidation type="decimal" operator="greaterThan" allowBlank="1" showInputMessage="1" showErrorMessage="1" errorTitle="Resistor Unit Cost ($)" error="Inputed Resistor unit cost should be &gt;0 ($)" sqref="B13" xr:uid="{54E36560-5BF5-4FAB-8C04-309830CC87AC}">
      <formula1>0</formula1>
    </dataValidation>
    <dataValidation type="decimal" allowBlank="1" showInputMessage="1" showErrorMessage="1" errorTitle="Resistor Power Rating (W)" error="Inputed resistor power rating should be between 0.063W:1.0W" sqref="B7" xr:uid="{E02A9C96-8A7E-4477-A9CA-93E45BFFBEB7}">
      <formula1>0.063</formula1>
      <formula2>1.8</formula2>
    </dataValidation>
    <dataValidation type="decimal" allowBlank="1" showInputMessage="1" showErrorMessage="1" errorTitle="Resistor Length (mm)" error="Inputed resistor length should be between 0:10" sqref="B11:B12" xr:uid="{E78DA689-AD05-4324-93CE-CE939F91EDC6}">
      <formula1>0</formula1>
      <formula2>10</formula2>
    </dataValidation>
    <dataValidation type="whole" allowBlank="1" showInputMessage="1" showErrorMessage="1" errorTitle="Resistor Divider Ratio" error="Inputed resistor divider ratio should be between 1:1000" sqref="B15" xr:uid="{478F3429-A5DC-48E2-A0F0-16ED243ED2BF}">
      <formula1>1</formula1>
      <formula2>1000</formula2>
    </dataValidation>
    <dataValidation type="decimal" allowBlank="1" showInputMessage="1" showErrorMessage="1" errorTitle="Resistor Power Rating (W)" error="Inputed resistor power rating should be between 0.063W:1.0W" sqref="B10" xr:uid="{3E091AD4-D668-4F2D-853D-FC1AB9A03832}">
      <formula1>0.063</formula1>
      <formula2>1</formula2>
    </dataValidation>
    <dataValidation type="whole" allowBlank="1" showInputMessage="1" showErrorMessage="1" errorTitle="Resistor Voltage Rating" error="Please select between resistors with voltage ratings of 50V:800V" sqref="B6 B9" xr:uid="{426278B7-3A69-4821-B7E9-D0744D32B1BE}">
      <formula1>50</formula1>
      <formula2>800</formula2>
    </dataValidation>
    <dataValidation type="decimal" allowBlank="1" showInputMessage="1" showErrorMessage="1" errorTitle="Max Avalanche Current Rating" error="Inputed Avalanche Current exceeds max avalanche current specification (3mA)" sqref="B4" xr:uid="{C2C2CA03-8190-4460-957D-F2A8162C6B05}">
      <formula1>0.1</formula1>
      <formula2>3</formula2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2068" r:id="rId4">
          <objectPr defaultSize="0" autoPict="0" r:id="rId5">
            <anchor moveWithCells="1">
              <from>
                <xdr:col>0</xdr:col>
                <xdr:colOff>863600</xdr:colOff>
                <xdr:row>17</xdr:row>
                <xdr:rowOff>12700</xdr:rowOff>
              </from>
              <to>
                <xdr:col>3</xdr:col>
                <xdr:colOff>1390650</xdr:colOff>
                <xdr:row>38</xdr:row>
                <xdr:rowOff>38100</xdr:rowOff>
              </to>
            </anchor>
          </objectPr>
        </oleObject>
      </mc:Choice>
      <mc:Fallback>
        <oleObject progId="Visio.Drawing.15" shapeId="2068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4F2EF4284A1449535FE48C6B84A4F" ma:contentTypeVersion="15" ma:contentTypeDescription="Create a new document." ma:contentTypeScope="" ma:versionID="f8f2da75827183fcb699fa0d147f721a">
  <xsd:schema xmlns:xsd="http://www.w3.org/2001/XMLSchema" xmlns:xs="http://www.w3.org/2001/XMLSchema" xmlns:p="http://schemas.microsoft.com/office/2006/metadata/properties" xmlns:ns2="c60d5198-7d28-488c-91e1-f7e740dd2ce3" targetNamespace="http://schemas.microsoft.com/office/2006/metadata/properties" ma:root="true" ma:fieldsID="436172cff7f51ded1038e6b2658f3ba0" ns2:_="">
    <xsd:import namespace="c60d5198-7d28-488c-91e1-f7e740dd2c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d5198-7d28-488c-91e1-f7e740dd2c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85516E-4FEF-42FC-84F4-14217EF44E96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c60d5198-7d28-488c-91e1-f7e740dd2ce3"/>
  </ds:schemaRefs>
</ds:datastoreItem>
</file>

<file path=customXml/itemProps2.xml><?xml version="1.0" encoding="utf-8"?>
<ds:datastoreItem xmlns:ds="http://schemas.openxmlformats.org/officeDocument/2006/customXml" ds:itemID="{0594AFFD-F920-425A-BBC5-5AD67543DD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824BF-A5FF-493E-A744-C72B9F79D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0d5198-7d28-488c-91e1-f7e740dd2c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TPSI2240T-Q1 (TAP) Calculator</vt:lpstr>
      <vt:lpstr>TPSI2240x-Q1 Calculator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Alsahhaf, Hussain</dc:creator>
  <cp:lastModifiedBy>Alsahhaf, Hussain</cp:lastModifiedBy>
  <dcterms:created xsi:type="dcterms:W3CDTF">2024-10-21T20:22:42Z</dcterms:created>
  <dcterms:modified xsi:type="dcterms:W3CDTF">2026-02-05T16:38:52Z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0x0101006AD4F2EF4284A1449535FE48C6B84A4F</vt:lpwstr>
  </property>
</Properties>
</file>