
<file path=[Content_Types].xml><?xml version="1.0" encoding="utf-8"?>
<Types xmlns="http://schemas.openxmlformats.org/package/2006/content-types">
  <Default Extension="bin" ContentType="application/vnd.openxmlformats-officedocument.spreadsheetml.printerSettings"/>
  <Default Extension="png" ContentType="image/png"/>
  <Default Extension="emf" ContentType="image/x-emf"/>
  <Default Extension="rels" ContentType="application/vnd.openxmlformats-package.relationships+xml"/>
  <Default Extension="xml" ContentType="application/xml"/>
  <Default Extension="gif" ContentType="image/gif"/>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tables/table1.xml" ContentType="application/vnd.openxmlformats-officedocument.spreadsheetml.table+xml"/>
  <Override PartName="/xl/drawings/drawing5.xml" ContentType="application/vnd.openxmlformats-officedocument.drawing+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drawings/drawing6.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403"/>
  <workbookPr filterPrivacy="1" showInkAnnotation="0" codeName="ThisWorkbook" defaultThemeVersion="124226"/>
  <xr:revisionPtr revIDLastSave="0" documentId="8_{2FBFFDBA-99C7-4D14-B9FB-4FFDB852756D}" xr6:coauthVersionLast="36" xr6:coauthVersionMax="36" xr10:uidLastSave="{00000000-0000-0000-0000-000000000000}"/>
  <workbookProtection workbookAlgorithmName="SHA-512" workbookHashValue="Tm15lMQvlAUa9qbcsnx4gk3X6hvtEkzmCl5j7tl0ORpfyWzL2n/Ymis67dgSJNfB7ljoHB4etriZeCLH2MJzcg==" workbookSaltValue="wkci2lRcP3E6fxAOAAHO2w==" workbookSpinCount="100000" lockStructure="1"/>
  <bookViews>
    <workbookView xWindow="5985" yWindow="2190" windowWidth="13215" windowHeight="4335" tabRatio="599" xr2:uid="{00000000-000D-0000-FFFF-FFFF00000000}"/>
  </bookViews>
  <sheets>
    <sheet name="Table of Contents" sheetId="14" r:id="rId1"/>
    <sheet name="Help" sheetId="16" r:id="rId2"/>
    <sheet name="Directions" sheetId="24" r:id="rId3"/>
    <sheet name="Voltage Sensing Calculator" sheetId="22" r:id="rId4"/>
    <sheet name="Device Comparison" sheetId="21" r:id="rId5"/>
    <sheet name="License" sheetId="23" r:id="rId6"/>
  </sheets>
  <externalReferences>
    <externalReference r:id="rId7"/>
    <externalReference r:id="rId8"/>
    <externalReference r:id="rId9"/>
  </externalReferences>
  <definedNames>
    <definedName name="Configs">Config[Configuration]</definedName>
    <definedName name="DECIMATION_RATIO">[1]Calculator!$R$82</definedName>
    <definedName name="Device_List">Devices[Part]</definedName>
    <definedName name="Device_List_D">'Device Comparison'!$AH$7:$AH$80</definedName>
    <definedName name="Device_List_N">INDEX(Devices[], 1, COLUMN(#REF!)) : INDEX(Devices[], COUNTA(#REF!)-COUNTBLANK(#REF!), COLUMN(#REF!))</definedName>
    <definedName name="Device_List_SE">'Device Comparison'!$AJ$7:$AJ$71</definedName>
    <definedName name="DropDownList">IF('Voltage Sensing Calculator'!A1048576="Single-Ended",'Device Comparison'!$AJ$8:$AJ$28,IF(OR('Voltage Sensing Calculator'!A1048576="Differential without R3'",'Voltage Sensing Calculator'!A1048576="Differential with R3'"),'Device Comparison'!$AH$8:$AH$68,IF('Voltage Sensing Calculator'!A1048576="Integrated Resistor Divider",'Device Comparison'!Y1:Y10,'Device Comparison'!$AK$7)))</definedName>
    <definedName name="FILTER_ORDER">[1]Calculator!$R$83</definedName>
    <definedName name="FIR_BYPASSED" localSheetId="5">'[2]Digital Filter'!$T$84</definedName>
    <definedName name="FIR_BYPASSED">'[3]Digital Filter'!$T$84</definedName>
    <definedName name="FS_IN">[1]Calculator!$Q$101</definedName>
    <definedName name="FS_OUT">[1]Calculator!$T$101</definedName>
    <definedName name="GAIN">[1]Calculator!$R$91</definedName>
    <definedName name="GAIN2">[1]Calculator!$R$93</definedName>
    <definedName name="GAIN3">[1]Calculator!$R$94</definedName>
    <definedName name="inputType">Inputs[Input Type]</definedName>
    <definedName name="InputTypeColumn">Devices[Input Type]</definedName>
    <definedName name="IntRdiv">'Device Comparison'!$CE$306</definedName>
    <definedName name="M">[1]Calculator!$R$81</definedName>
    <definedName name="MOD_FREQ">[1]Calculator!$D$8</definedName>
    <definedName name="NORMALIZE">[1]Calculator!$R$92</definedName>
    <definedName name="OSR">[1]Calculator!$D$9</definedName>
    <definedName name="P_DECIMATION_RATIO">[1]Calculator!$U$82</definedName>
    <definedName name="P_FS_OUT">[1]Calculator!$BK$101</definedName>
    <definedName name="P_GAIN">[1]Calculator!$U$91</definedName>
    <definedName name="P_GAIN2">[1]Calculator!$U$93</definedName>
    <definedName name="P_GAIN3">[1]Calculator!$U$94</definedName>
    <definedName name="P_OSR">[1]Calculator!$D$11</definedName>
    <definedName name="Picture">INDIRECT('Voltage Sensing Calculator'!$B$6)</definedName>
    <definedName name="selectConfig">'Device Comparison'!$CE$303</definedName>
    <definedName name="single">'Device Comparison'!$CE$307</definedName>
    <definedName name="Temp_Range">IF((25-'Voltage Sensing Calculator'!$K$15)&gt;('Voltage Sensing Calculator'!$K$16-25),(25-'Voltage Sensing Calculator'!$K$15),('Voltage Sensing Calculator'!$K$16-25))</definedName>
    <definedName name="withoutR3">'Device Comparison'!$CE$304</definedName>
    <definedName name="withR3">'Device Comparison'!$CE$305</definedName>
  </definedNames>
  <calcPr calcId="191029"/>
</workbook>
</file>

<file path=xl/calcChain.xml><?xml version="1.0" encoding="utf-8"?>
<calcChain xmlns="http://schemas.openxmlformats.org/spreadsheetml/2006/main">
  <c r="AN9" i="21" l="1"/>
  <c r="N11" i="22"/>
  <c r="Y86" i="21"/>
  <c r="Z86" i="21"/>
  <c r="AA86" i="21"/>
  <c r="AB86" i="21"/>
  <c r="AC86" i="21"/>
  <c r="Y87" i="21"/>
  <c r="Z87" i="21"/>
  <c r="AA87" i="21"/>
  <c r="AB87" i="21"/>
  <c r="AC87" i="21"/>
  <c r="N10" i="22"/>
  <c r="N9" i="22"/>
  <c r="BW58" i="22"/>
  <c r="N67" i="22" l="1"/>
  <c r="N66" i="22"/>
  <c r="J50" i="22"/>
  <c r="N37" i="22"/>
  <c r="N35" i="22"/>
  <c r="N7" i="22"/>
  <c r="Y92" i="21"/>
  <c r="Z92" i="21"/>
  <c r="AA92" i="21"/>
  <c r="AB92" i="21"/>
  <c r="AC92" i="21"/>
  <c r="Y93" i="21"/>
  <c r="AA93" i="21" s="1"/>
  <c r="Z93" i="21"/>
  <c r="AB93" i="21"/>
  <c r="AC93" i="21"/>
  <c r="Y94" i="21"/>
  <c r="AC94" i="21" s="1"/>
  <c r="Z94" i="21"/>
  <c r="AB94" i="21"/>
  <c r="AA94" i="21" l="1"/>
  <c r="AB9" i="21"/>
  <c r="AA8" i="21"/>
  <c r="AA9" i="21"/>
  <c r="AA10" i="21"/>
  <c r="AA11" i="21"/>
  <c r="AA12" i="21"/>
  <c r="AA13" i="21"/>
  <c r="AA14" i="21"/>
  <c r="AA15" i="21"/>
  <c r="AA16" i="21"/>
  <c r="AA17" i="21"/>
  <c r="AA18" i="21"/>
  <c r="AA19" i="21"/>
  <c r="AA20" i="21"/>
  <c r="AA21" i="21"/>
  <c r="AA22" i="21"/>
  <c r="AA23" i="21"/>
  <c r="AA24" i="21"/>
  <c r="AA25" i="21"/>
  <c r="AA26" i="21"/>
  <c r="AA27" i="21"/>
  <c r="AA28" i="21"/>
  <c r="AA29" i="21"/>
  <c r="AA30" i="21"/>
  <c r="AA31" i="21"/>
  <c r="AA32" i="21"/>
  <c r="AA33" i="21"/>
  <c r="AA34" i="21"/>
  <c r="AA35" i="21"/>
  <c r="AA36" i="21"/>
  <c r="AA37" i="21"/>
  <c r="AA38" i="21"/>
  <c r="AA39" i="21"/>
  <c r="AA40" i="21"/>
  <c r="AA41" i="21"/>
  <c r="AA42" i="21"/>
  <c r="AA43" i="21"/>
  <c r="AA44" i="21"/>
  <c r="AA45" i="21"/>
  <c r="AA46" i="21"/>
  <c r="AA47" i="21"/>
  <c r="AA48" i="21"/>
  <c r="AA49" i="21"/>
  <c r="AA50" i="21"/>
  <c r="AA51" i="21"/>
  <c r="AA52" i="21"/>
  <c r="AA53" i="21"/>
  <c r="AA54" i="21"/>
  <c r="AA55" i="21"/>
  <c r="AA56" i="21"/>
  <c r="AA57" i="21"/>
  <c r="AA58" i="21"/>
  <c r="AA59" i="21"/>
  <c r="AA60" i="21"/>
  <c r="AA61" i="21"/>
  <c r="AA62" i="21"/>
  <c r="AA63" i="21"/>
  <c r="AA64" i="21"/>
  <c r="AA65" i="21"/>
  <c r="AA66" i="21"/>
  <c r="AA67" i="21"/>
  <c r="AA68" i="21"/>
  <c r="AA69" i="21"/>
  <c r="AA70" i="21"/>
  <c r="AA71" i="21"/>
  <c r="AA72" i="21"/>
  <c r="AA73" i="21"/>
  <c r="AA74" i="21"/>
  <c r="AA75" i="21"/>
  <c r="AA76" i="21"/>
  <c r="AA77" i="21"/>
  <c r="AA78" i="21"/>
  <c r="AA79" i="21"/>
  <c r="AA80" i="21"/>
  <c r="AA81" i="21"/>
  <c r="AA82" i="21"/>
  <c r="AA83" i="21"/>
  <c r="AA84" i="21"/>
  <c r="AA85" i="21"/>
  <c r="AA88" i="21"/>
  <c r="AA89" i="21"/>
  <c r="AA90" i="21"/>
  <c r="AA91" i="21"/>
  <c r="B6" i="22"/>
  <c r="W50" i="21" l="1"/>
  <c r="W24" i="21"/>
  <c r="Y38" i="21"/>
  <c r="Z38" i="21" s="1"/>
  <c r="Y39" i="21"/>
  <c r="Z39" i="21" s="1"/>
  <c r="Y40" i="21"/>
  <c r="Z40" i="21" s="1"/>
  <c r="Y41" i="21"/>
  <c r="Z41" i="21" s="1"/>
  <c r="Y42" i="21"/>
  <c r="AB42" i="21" s="1"/>
  <c r="Y43" i="21"/>
  <c r="AB43" i="21" s="1"/>
  <c r="Y44" i="21"/>
  <c r="AB44" i="21" s="1"/>
  <c r="Y45" i="21"/>
  <c r="AB45" i="21" s="1"/>
  <c r="Y46" i="21"/>
  <c r="Z46" i="21"/>
  <c r="AB38" i="21"/>
  <c r="AB39" i="21"/>
  <c r="AB40" i="21"/>
  <c r="AB41" i="21"/>
  <c r="AC38" i="21"/>
  <c r="AC39" i="21"/>
  <c r="AC40" i="21"/>
  <c r="AC41" i="21"/>
  <c r="AC42" i="21"/>
  <c r="AC43" i="21"/>
  <c r="AC44" i="21"/>
  <c r="AC45" i="21"/>
  <c r="AC46" i="21"/>
  <c r="Y47" i="21"/>
  <c r="Y48" i="21"/>
  <c r="AB48" i="21" s="1"/>
  <c r="Y49" i="21"/>
  <c r="AB49" i="21" s="1"/>
  <c r="Y50" i="21"/>
  <c r="AB50" i="21" s="1"/>
  <c r="Y51" i="21"/>
  <c r="AB51" i="21" s="1"/>
  <c r="Y52" i="21"/>
  <c r="AB52" i="21" s="1"/>
  <c r="Y53" i="21"/>
  <c r="AB53" i="21" s="1"/>
  <c r="Y54" i="21"/>
  <c r="AB54" i="21" s="1"/>
  <c r="Y55" i="21"/>
  <c r="Z55" i="21" s="1"/>
  <c r="Z47" i="21"/>
  <c r="Z48" i="21"/>
  <c r="Z49" i="21"/>
  <c r="Z50" i="21"/>
  <c r="Z51" i="21"/>
  <c r="Z52" i="21"/>
  <c r="Z53" i="21"/>
  <c r="AB47" i="21"/>
  <c r="AC47" i="21"/>
  <c r="AC48" i="21"/>
  <c r="AC49" i="21"/>
  <c r="AC50" i="21"/>
  <c r="AC51" i="21"/>
  <c r="AC52" i="21"/>
  <c r="AC53" i="21"/>
  <c r="AC54" i="21"/>
  <c r="AC55" i="21"/>
  <c r="Y8" i="21"/>
  <c r="Z8" i="21" s="1"/>
  <c r="Y9" i="21"/>
  <c r="Z9" i="21" s="1"/>
  <c r="Y10" i="21"/>
  <c r="Z10" i="21" s="1"/>
  <c r="Y11" i="21"/>
  <c r="Z11" i="21" s="1"/>
  <c r="Y12" i="21"/>
  <c r="Z12" i="21" s="1"/>
  <c r="Y13" i="21"/>
  <c r="Z13" i="21" s="1"/>
  <c r="Y14" i="21"/>
  <c r="Z14" i="21" s="1"/>
  <c r="Y15" i="21"/>
  <c r="Z15" i="21" s="1"/>
  <c r="Y16" i="21"/>
  <c r="Y17" i="21"/>
  <c r="Y18" i="21"/>
  <c r="Y19" i="21"/>
  <c r="Y20" i="21"/>
  <c r="AB20" i="21" s="1"/>
  <c r="Y21" i="21"/>
  <c r="AB21" i="21" s="1"/>
  <c r="Y22" i="21"/>
  <c r="Y23" i="21"/>
  <c r="Z23" i="21" s="1"/>
  <c r="AB8" i="21"/>
  <c r="AB10" i="21"/>
  <c r="AB11" i="21"/>
  <c r="AB12" i="21"/>
  <c r="AB13" i="21"/>
  <c r="AB14" i="21"/>
  <c r="AB15" i="21"/>
  <c r="AB16" i="21"/>
  <c r="AB17" i="21"/>
  <c r="AB18" i="21"/>
  <c r="AB19" i="21"/>
  <c r="AC8" i="21"/>
  <c r="AC9" i="21"/>
  <c r="AC10" i="21"/>
  <c r="AC11" i="21"/>
  <c r="AC12" i="21"/>
  <c r="AC13" i="21"/>
  <c r="AC14" i="21"/>
  <c r="AC15" i="21"/>
  <c r="AC16" i="21"/>
  <c r="AC17" i="21"/>
  <c r="AC18" i="21"/>
  <c r="AC19" i="21"/>
  <c r="AC20" i="21"/>
  <c r="AC21" i="21"/>
  <c r="AC22" i="21"/>
  <c r="AC23" i="21"/>
  <c r="Y24" i="21"/>
  <c r="AB24" i="21" s="1"/>
  <c r="Y25" i="21"/>
  <c r="AB25" i="21" s="1"/>
  <c r="Y26" i="21"/>
  <c r="AB26" i="21" s="1"/>
  <c r="Y27" i="21"/>
  <c r="AB27" i="21" s="1"/>
  <c r="Y28" i="21"/>
  <c r="AB28" i="21" s="1"/>
  <c r="Y29" i="21"/>
  <c r="AB29" i="21" s="1"/>
  <c r="Y30" i="21"/>
  <c r="AB30" i="21" s="1"/>
  <c r="Y31" i="21"/>
  <c r="Z31" i="21" s="1"/>
  <c r="Z24" i="21"/>
  <c r="Z25" i="21"/>
  <c r="Z26" i="21"/>
  <c r="Z27" i="21"/>
  <c r="Z28" i="21"/>
  <c r="Z29" i="21"/>
  <c r="Z30" i="21"/>
  <c r="AC24" i="21"/>
  <c r="AC25" i="21"/>
  <c r="AC26" i="21"/>
  <c r="AC27" i="21"/>
  <c r="AC28" i="21"/>
  <c r="AC29" i="21"/>
  <c r="AC30" i="21"/>
  <c r="AC31" i="21"/>
  <c r="Y32" i="21"/>
  <c r="AB32" i="21" s="1"/>
  <c r="Y33" i="21"/>
  <c r="AB33" i="21" s="1"/>
  <c r="Y34" i="21"/>
  <c r="AC34" i="21" s="1"/>
  <c r="Y35" i="21"/>
  <c r="AB35" i="21" s="1"/>
  <c r="Z32" i="21"/>
  <c r="Z33" i="21"/>
  <c r="Z34" i="21"/>
  <c r="Z35" i="21"/>
  <c r="Y36" i="21"/>
  <c r="AC36" i="21" s="1"/>
  <c r="AB36" i="21"/>
  <c r="Y37" i="21"/>
  <c r="Z37" i="21" s="1"/>
  <c r="Y56" i="21"/>
  <c r="AC56" i="21" s="1"/>
  <c r="Z56" i="21"/>
  <c r="AB56" i="21"/>
  <c r="Y57" i="21"/>
  <c r="Z57" i="21" s="1"/>
  <c r="AB57" i="21"/>
  <c r="AC57" i="21"/>
  <c r="Z44" i="21" l="1"/>
  <c r="Z42" i="21"/>
  <c r="Z45" i="21"/>
  <c r="Z43" i="21"/>
  <c r="Z36" i="21"/>
  <c r="Z54" i="21"/>
  <c r="AB46" i="21"/>
  <c r="AC37" i="21"/>
  <c r="AB55" i="21"/>
  <c r="AB37" i="21"/>
  <c r="Z22" i="21"/>
  <c r="Z21" i="21"/>
  <c r="Z18" i="21"/>
  <c r="Z19" i="21"/>
  <c r="AB23" i="21"/>
  <c r="Z17" i="21"/>
  <c r="AB22" i="21"/>
  <c r="Z16" i="21"/>
  <c r="Z20" i="21"/>
  <c r="AC33" i="21"/>
  <c r="AB34" i="21"/>
  <c r="AC35" i="21"/>
  <c r="AB31" i="21"/>
  <c r="AC32" i="21"/>
  <c r="J60" i="22"/>
  <c r="J59" i="22"/>
  <c r="J58" i="22"/>
  <c r="J57" i="22"/>
  <c r="J56" i="22"/>
  <c r="J55" i="22"/>
  <c r="BT50" i="22" l="1"/>
  <c r="BU50" i="22" s="1"/>
  <c r="BV50" i="22" s="1"/>
  <c r="BW50" i="22"/>
  <c r="BX50" i="22"/>
  <c r="BY50" i="22" s="1"/>
  <c r="BZ50" i="22" s="1"/>
  <c r="CA50" i="22" s="1"/>
  <c r="CB50" i="22" s="1"/>
  <c r="Y60" i="21" l="1"/>
  <c r="Z60" i="21"/>
  <c r="Y59" i="21"/>
  <c r="Y58" i="21"/>
  <c r="Y61" i="21"/>
  <c r="Y62" i="21"/>
  <c r="Y63" i="21"/>
  <c r="AB63" i="21"/>
  <c r="Z63" i="21" l="1"/>
  <c r="AB62" i="21"/>
  <c r="Z61" i="21"/>
  <c r="Z58" i="21"/>
  <c r="AB59" i="21"/>
  <c r="AB60" i="21"/>
  <c r="Z62" i="21"/>
  <c r="Z59" i="21"/>
  <c r="AC60" i="21"/>
  <c r="AC59" i="21"/>
  <c r="AB61" i="21"/>
  <c r="AB58" i="21"/>
  <c r="AC61" i="21"/>
  <c r="AC58" i="21"/>
  <c r="AC63" i="21"/>
  <c r="AC62" i="21"/>
  <c r="L53" i="22" l="1"/>
  <c r="H66" i="22" l="1"/>
  <c r="L54" i="22"/>
  <c r="E39" i="22"/>
  <c r="G42" i="22"/>
  <c r="E42" i="22"/>
  <c r="BU58" i="22" l="1"/>
  <c r="BV58" i="22" s="1"/>
  <c r="BX58" i="22"/>
  <c r="BY58" i="22" s="1"/>
  <c r="BZ58" i="22" s="1"/>
  <c r="CA58" i="22" s="1"/>
  <c r="CB58" i="22" s="1"/>
  <c r="N16" i="22" l="1"/>
  <c r="N15" i="22"/>
  <c r="Y90" i="21" l="1"/>
  <c r="Z90" i="21"/>
  <c r="Y81" i="21"/>
  <c r="Z81" i="21"/>
  <c r="AB81" i="21"/>
  <c r="AC81" i="21"/>
  <c r="Y80" i="21"/>
  <c r="Z80" i="21"/>
  <c r="Y75" i="21"/>
  <c r="Z75" i="21"/>
  <c r="Y76" i="21"/>
  <c r="Z76" i="21"/>
  <c r="AC76" i="21"/>
  <c r="Y74" i="21"/>
  <c r="Z74" i="21"/>
  <c r="Y77" i="21"/>
  <c r="Z77" i="21"/>
  <c r="Y79" i="21"/>
  <c r="Z79" i="21"/>
  <c r="Y64" i="21"/>
  <c r="Z64" i="21"/>
  <c r="AC64" i="21"/>
  <c r="AB64" i="21" l="1"/>
  <c r="AB79" i="21"/>
  <c r="AB77" i="21"/>
  <c r="AB74" i="21"/>
  <c r="AB76" i="21"/>
  <c r="AB75" i="21"/>
  <c r="AB80" i="21"/>
  <c r="AB90" i="21"/>
  <c r="AC90" i="21"/>
  <c r="AC80" i="21"/>
  <c r="AC75" i="21"/>
  <c r="AC74" i="21"/>
  <c r="AC77" i="21"/>
  <c r="AC79" i="21"/>
  <c r="BT52" i="22"/>
  <c r="BU52" i="22" s="1"/>
  <c r="BV52" i="22" s="1"/>
  <c r="BW52" i="22"/>
  <c r="BX52" i="22" s="1"/>
  <c r="BY52" i="22" s="1"/>
  <c r="BZ52" i="22" s="1"/>
  <c r="CA52" i="22" s="1"/>
  <c r="CB52" i="22" s="1"/>
  <c r="BT55" i="22"/>
  <c r="BU55" i="22" s="1"/>
  <c r="BV55" i="22" s="1"/>
  <c r="BW55" i="22"/>
  <c r="BX55" i="22" s="1"/>
  <c r="BY55" i="22" s="1"/>
  <c r="BZ55" i="22" s="1"/>
  <c r="CA55" i="22" s="1"/>
  <c r="CB55" i="22" s="1"/>
  <c r="BT56" i="22"/>
  <c r="BU56" i="22" s="1"/>
  <c r="BV56" i="22" s="1"/>
  <c r="BW56" i="22"/>
  <c r="BX56" i="22" s="1"/>
  <c r="BY56" i="22" s="1"/>
  <c r="BZ56" i="22" s="1"/>
  <c r="CA56" i="22" s="1"/>
  <c r="CB56" i="22" s="1"/>
  <c r="BT57" i="22"/>
  <c r="BU57" i="22" s="1"/>
  <c r="BV57" i="22" s="1"/>
  <c r="BW57" i="22"/>
  <c r="BX57" i="22" s="1"/>
  <c r="BY57" i="22" s="1"/>
  <c r="BZ57" i="22" s="1"/>
  <c r="CA57" i="22" s="1"/>
  <c r="CB57" i="22" s="1"/>
  <c r="BW31" i="22"/>
  <c r="BX31" i="22" s="1"/>
  <c r="BY31" i="22" s="1"/>
  <c r="BZ31" i="22" s="1"/>
  <c r="CA31" i="22" s="1"/>
  <c r="CB31" i="22" s="1"/>
  <c r="BT31" i="22"/>
  <c r="BU31" i="22" s="1"/>
  <c r="BV31" i="22" s="1"/>
  <c r="E44" i="22" l="1"/>
  <c r="F44" i="22"/>
  <c r="BT44" i="22" l="1"/>
  <c r="BU44" i="22" s="1"/>
  <c r="BV44" i="22" s="1"/>
  <c r="BW44" i="22"/>
  <c r="BX44" i="22" s="1"/>
  <c r="BY44" i="22" s="1"/>
  <c r="BZ44" i="22" s="1"/>
  <c r="CA44" i="22" s="1"/>
  <c r="CB44" i="22" s="1"/>
  <c r="Y95" i="21" l="1"/>
  <c r="Z95" i="21"/>
  <c r="AC95" i="21"/>
  <c r="Y96" i="21"/>
  <c r="AA96" i="21" s="1"/>
  <c r="Z96" i="21" l="1"/>
  <c r="AB95" i="21"/>
  <c r="AA95" i="21"/>
  <c r="AC96" i="21"/>
  <c r="AB96" i="21"/>
  <c r="Y114" i="21" l="1"/>
  <c r="AA114" i="21" s="1"/>
  <c r="AB114" i="21"/>
  <c r="AC114" i="21"/>
  <c r="Y115" i="21"/>
  <c r="AA115" i="21" s="1"/>
  <c r="AB115" i="21"/>
  <c r="Y116" i="21"/>
  <c r="AA116" i="21" s="1"/>
  <c r="AB116" i="21"/>
  <c r="Y117" i="21"/>
  <c r="AA117" i="21" s="1"/>
  <c r="AB117" i="21"/>
  <c r="AC117" i="21"/>
  <c r="AC115" i="21" l="1"/>
  <c r="Z116" i="21"/>
  <c r="Z117" i="21"/>
  <c r="Z115" i="21"/>
  <c r="Z114" i="21"/>
  <c r="AC116" i="21"/>
  <c r="Y112" i="21"/>
  <c r="AA112" i="21" s="1"/>
  <c r="AB112" i="21"/>
  <c r="Y111" i="21"/>
  <c r="AA111" i="21" s="1"/>
  <c r="AB111" i="21"/>
  <c r="AC111" i="21"/>
  <c r="Y108" i="21"/>
  <c r="AA108" i="21" s="1"/>
  <c r="AB108" i="21"/>
  <c r="Y109" i="21"/>
  <c r="AA109" i="21" s="1"/>
  <c r="Y107" i="21"/>
  <c r="AA107" i="21" s="1"/>
  <c r="AB107" i="21"/>
  <c r="AC107" i="21"/>
  <c r="Y110" i="21"/>
  <c r="AA110" i="21" s="1"/>
  <c r="AB110" i="21"/>
  <c r="AC110" i="21"/>
  <c r="Y113" i="21"/>
  <c r="AA113" i="21" s="1"/>
  <c r="Y131" i="21"/>
  <c r="AA131" i="21" s="1"/>
  <c r="Z131" i="21"/>
  <c r="AC131" i="21"/>
  <c r="Y118" i="21"/>
  <c r="Y119" i="21"/>
  <c r="Y120" i="21"/>
  <c r="Y121" i="21"/>
  <c r="Y122" i="21"/>
  <c r="Y123" i="21"/>
  <c r="Y105" i="21"/>
  <c r="AA105" i="21" s="1"/>
  <c r="AB105" i="21"/>
  <c r="AC105" i="21"/>
  <c r="Y100" i="21"/>
  <c r="AA100" i="21" s="1"/>
  <c r="Y101" i="21"/>
  <c r="AA101" i="21" s="1"/>
  <c r="Y102" i="21"/>
  <c r="AA102" i="21" s="1"/>
  <c r="AB102" i="21"/>
  <c r="Y103" i="21"/>
  <c r="AA103" i="21" s="1"/>
  <c r="Y104" i="21"/>
  <c r="AA104" i="21" s="1"/>
  <c r="Y98" i="21"/>
  <c r="AA98" i="21" s="1"/>
  <c r="Y99" i="21"/>
  <c r="AA99" i="21" s="1"/>
  <c r="Y106" i="21"/>
  <c r="AA106" i="21" s="1"/>
  <c r="Y97" i="21"/>
  <c r="AA97" i="21" s="1"/>
  <c r="AC112" i="21" l="1"/>
  <c r="AC113" i="21"/>
  <c r="AC97" i="21"/>
  <c r="AB97" i="21"/>
  <c r="Z101" i="21"/>
  <c r="Z102" i="21"/>
  <c r="Z111" i="21"/>
  <c r="Z110" i="21"/>
  <c r="AB103" i="21"/>
  <c r="Z105" i="21"/>
  <c r="AC122" i="21"/>
  <c r="AA122" i="21"/>
  <c r="AB104" i="21"/>
  <c r="Z107" i="21"/>
  <c r="AB109" i="21"/>
  <c r="AC100" i="21"/>
  <c r="Z108" i="21"/>
  <c r="Z123" i="21"/>
  <c r="AA123" i="21"/>
  <c r="Z121" i="21"/>
  <c r="AA121" i="21"/>
  <c r="AC120" i="21"/>
  <c r="AA120" i="21"/>
  <c r="Z112" i="21"/>
  <c r="Z119" i="21"/>
  <c r="AA119" i="21"/>
  <c r="Z118" i="21"/>
  <c r="AA118" i="21"/>
  <c r="AB131" i="21"/>
  <c r="Z97" i="21"/>
  <c r="AB106" i="21"/>
  <c r="AB113" i="21"/>
  <c r="Z99" i="21"/>
  <c r="AB98" i="21"/>
  <c r="Z120" i="21"/>
  <c r="Z113" i="21"/>
  <c r="Z109" i="21"/>
  <c r="AC108" i="21"/>
  <c r="AC109" i="21"/>
  <c r="AB120" i="21"/>
  <c r="Z106" i="21"/>
  <c r="AC119" i="21"/>
  <c r="AB119" i="21"/>
  <c r="AC118" i="21"/>
  <c r="AB118" i="21"/>
  <c r="AC121" i="21"/>
  <c r="AB122" i="21"/>
  <c r="Z122" i="21"/>
  <c r="AB121" i="21"/>
  <c r="Z103" i="21"/>
  <c r="AC123" i="21"/>
  <c r="AB123" i="21"/>
  <c r="AC103" i="21"/>
  <c r="AB100" i="21"/>
  <c r="Z100" i="21"/>
  <c r="AC102" i="21"/>
  <c r="AB99" i="21"/>
  <c r="AC104" i="21"/>
  <c r="Z98" i="21"/>
  <c r="Z104" i="21"/>
  <c r="AC101" i="21"/>
  <c r="AB101" i="21"/>
  <c r="AC98" i="21"/>
  <c r="AC99" i="21"/>
  <c r="AC106" i="21"/>
  <c r="B30" i="22" l="1"/>
  <c r="K21" i="22" l="1"/>
  <c r="B62" i="22"/>
  <c r="BI48" i="22" l="1"/>
  <c r="BI47" i="22"/>
  <c r="BI40" i="22"/>
  <c r="BI39" i="22"/>
  <c r="BJ36" i="22"/>
  <c r="BJ37" i="22" s="1"/>
  <c r="BJ35" i="22" l="1"/>
  <c r="BJ39" i="22" s="1"/>
  <c r="BJ40" i="22"/>
  <c r="Y65" i="21"/>
  <c r="Y66" i="21"/>
  <c r="Y67" i="21"/>
  <c r="Y68" i="21"/>
  <c r="Y69" i="21"/>
  <c r="Y70" i="21"/>
  <c r="Y71" i="21"/>
  <c r="Y72" i="21"/>
  <c r="Y73" i="21"/>
  <c r="Y78" i="21"/>
  <c r="Y82" i="21"/>
  <c r="Y83" i="21"/>
  <c r="Y84" i="21"/>
  <c r="Y85" i="21"/>
  <c r="Y88" i="21"/>
  <c r="Y89" i="21"/>
  <c r="Y91" i="21"/>
  <c r="Y124" i="21"/>
  <c r="Y125" i="21"/>
  <c r="Y126" i="21"/>
  <c r="Y127" i="21"/>
  <c r="AA127" i="21" s="1"/>
  <c r="Y128" i="21"/>
  <c r="AA128" i="21" s="1"/>
  <c r="Y129" i="21"/>
  <c r="AA129" i="21" s="1"/>
  <c r="Y130" i="21"/>
  <c r="AA130" i="21" s="1"/>
  <c r="Y132" i="21"/>
  <c r="AA132" i="21" s="1"/>
  <c r="Y133" i="21"/>
  <c r="AA133" i="21" s="1"/>
  <c r="Z127" i="21"/>
  <c r="Z128" i="21"/>
  <c r="Z129" i="21"/>
  <c r="Z130" i="21"/>
  <c r="Z132" i="21"/>
  <c r="Z133" i="21"/>
  <c r="AB65" i="21"/>
  <c r="AB66" i="21"/>
  <c r="AB67" i="21"/>
  <c r="AB68" i="21"/>
  <c r="AB69" i="21"/>
  <c r="AB70" i="21"/>
  <c r="AB71" i="21"/>
  <c r="AB72" i="21"/>
  <c r="AB73" i="21"/>
  <c r="AB78" i="21"/>
  <c r="AB82" i="21"/>
  <c r="AB83" i="21"/>
  <c r="AB84" i="21"/>
  <c r="AB85" i="21"/>
  <c r="AB88" i="21"/>
  <c r="AB89" i="21"/>
  <c r="AC65" i="21"/>
  <c r="AC66" i="21"/>
  <c r="AC67" i="21"/>
  <c r="AC68" i="21"/>
  <c r="AC69" i="21"/>
  <c r="AC70" i="21"/>
  <c r="AC71" i="21"/>
  <c r="AC72" i="21"/>
  <c r="AC73" i="21"/>
  <c r="AC78" i="21"/>
  <c r="AC82" i="21"/>
  <c r="AC83" i="21"/>
  <c r="AC84" i="21"/>
  <c r="AC85" i="21"/>
  <c r="AC88" i="21"/>
  <c r="AC89" i="21"/>
  <c r="AC127" i="21"/>
  <c r="AC128" i="21"/>
  <c r="AC129" i="21"/>
  <c r="AC130" i="21"/>
  <c r="AC132" i="21"/>
  <c r="AC133" i="21"/>
  <c r="Z88" i="21" l="1"/>
  <c r="Z84" i="21"/>
  <c r="Z89" i="21"/>
  <c r="Z85" i="21"/>
  <c r="Z82" i="21"/>
  <c r="Z73" i="21"/>
  <c r="AB126" i="21"/>
  <c r="AA126" i="21"/>
  <c r="AB125" i="21"/>
  <c r="AA125" i="21"/>
  <c r="AB124" i="21"/>
  <c r="AA124" i="21"/>
  <c r="Z91" i="21"/>
  <c r="Z83" i="21"/>
  <c r="Z78" i="21"/>
  <c r="Z72" i="21"/>
  <c r="Z71" i="21"/>
  <c r="Z70" i="21"/>
  <c r="Z69" i="21"/>
  <c r="AB133" i="21"/>
  <c r="Z68" i="21"/>
  <c r="AB132" i="21"/>
  <c r="Z67" i="21"/>
  <c r="AB130" i="21"/>
  <c r="Z66" i="21"/>
  <c r="AB129" i="21"/>
  <c r="Z65" i="21"/>
  <c r="AB128" i="21"/>
  <c r="AB127" i="21"/>
  <c r="AB91" i="21"/>
  <c r="Z126" i="21"/>
  <c r="Z125" i="21"/>
  <c r="AC126" i="21"/>
  <c r="AC125" i="21"/>
  <c r="Z124" i="21"/>
  <c r="AC124" i="21"/>
  <c r="AC91" i="21"/>
  <c r="E34" i="22"/>
  <c r="G34" i="22"/>
  <c r="BI21" i="22" l="1"/>
  <c r="BX8" i="22"/>
  <c r="BX9" i="22"/>
  <c r="BX10" i="22"/>
  <c r="BX11" i="22"/>
  <c r="BX12" i="22"/>
  <c r="BX13" i="22"/>
  <c r="BX14" i="22"/>
  <c r="BX15" i="22"/>
  <c r="BX16" i="22"/>
  <c r="BX17" i="22"/>
  <c r="BX18" i="22"/>
  <c r="BX19" i="22"/>
  <c r="BX20" i="22"/>
  <c r="BX21" i="22"/>
  <c r="BX22" i="22"/>
  <c r="BX23" i="22"/>
  <c r="BX24" i="22"/>
  <c r="BX25" i="22"/>
  <c r="BX26" i="22"/>
  <c r="BX27" i="22"/>
  <c r="BX28" i="22"/>
  <c r="BX29" i="22"/>
  <c r="BX30" i="22"/>
  <c r="BX32" i="22"/>
  <c r="BX33" i="22"/>
  <c r="BX34" i="22"/>
  <c r="BX35" i="22"/>
  <c r="BX36" i="22"/>
  <c r="BX37" i="22"/>
  <c r="BX38" i="22"/>
  <c r="BX39" i="22"/>
  <c r="BX40" i="22"/>
  <c r="BX41" i="22"/>
  <c r="BX42" i="22"/>
  <c r="BX43" i="22"/>
  <c r="BX45" i="22"/>
  <c r="BX46" i="22"/>
  <c r="BX47" i="22"/>
  <c r="BX48" i="22"/>
  <c r="BX49" i="22"/>
  <c r="BX51" i="22"/>
  <c r="BX53" i="22"/>
  <c r="BX54" i="22"/>
  <c r="BX59" i="22"/>
  <c r="BX60" i="22"/>
  <c r="BX61" i="22"/>
  <c r="BX62" i="22"/>
  <c r="BX63" i="22"/>
  <c r="BX64" i="22"/>
  <c r="BX65" i="22"/>
  <c r="BX66" i="22"/>
  <c r="BX67" i="22"/>
  <c r="BX68" i="22"/>
  <c r="BX69" i="22"/>
  <c r="BX70" i="22"/>
  <c r="BX71" i="22"/>
  <c r="BX72" i="22"/>
  <c r="BX73" i="22"/>
  <c r="BX74" i="22"/>
  <c r="BX75" i="22"/>
  <c r="BX76" i="22"/>
  <c r="BX77" i="22"/>
  <c r="BX78" i="22"/>
  <c r="BX79" i="22"/>
  <c r="BX80" i="22"/>
  <c r="BX81" i="22"/>
  <c r="BX82" i="22"/>
  <c r="BX83" i="22"/>
  <c r="BX84" i="22"/>
  <c r="BX85" i="22"/>
  <c r="BX86" i="22"/>
  <c r="BX87" i="22"/>
  <c r="BX88" i="22"/>
  <c r="BX89" i="22"/>
  <c r="BX90" i="22"/>
  <c r="BX91" i="22"/>
  <c r="BX92" i="22"/>
  <c r="BX93" i="22"/>
  <c r="BX94" i="22"/>
  <c r="BX95" i="22"/>
  <c r="BX96" i="22"/>
  <c r="BX97" i="22"/>
  <c r="BX98" i="22"/>
  <c r="BX99" i="22"/>
  <c r="BX100" i="22"/>
  <c r="BX101" i="22"/>
  <c r="BX102" i="22"/>
  <c r="BX103" i="22"/>
  <c r="BX104" i="22"/>
  <c r="BX105" i="22"/>
  <c r="BX106" i="22"/>
  <c r="BX107" i="22"/>
  <c r="BX108" i="22"/>
  <c r="BX109" i="22"/>
  <c r="BX111" i="22"/>
  <c r="BX7" i="22"/>
  <c r="E31" i="22" l="1"/>
  <c r="BF30" i="22" s="1"/>
  <c r="BJ28" i="22" l="1"/>
  <c r="BJ29" i="22" s="1"/>
  <c r="BJ27" i="22" l="1"/>
  <c r="Y7" i="21"/>
  <c r="Z7" i="21" l="1"/>
  <c r="AA7" i="21"/>
  <c r="AE86" i="21" s="1"/>
  <c r="AI86" i="21" s="1"/>
  <c r="AD45" i="21"/>
  <c r="AH45" i="21" s="1"/>
  <c r="AD38" i="21"/>
  <c r="AH38" i="21" s="1"/>
  <c r="AD39" i="21"/>
  <c r="AH39" i="21" s="1"/>
  <c r="AD40" i="21"/>
  <c r="AH40" i="21" s="1"/>
  <c r="AD41" i="21"/>
  <c r="AH41" i="21" s="1"/>
  <c r="AD42" i="21"/>
  <c r="AH42" i="21" s="1"/>
  <c r="AD44" i="21"/>
  <c r="AH44" i="21" s="1"/>
  <c r="AD46" i="21"/>
  <c r="AH46" i="21" s="1"/>
  <c r="AD50" i="21"/>
  <c r="AH50" i="21" s="1"/>
  <c r="AD52" i="21"/>
  <c r="AH52" i="21" s="1"/>
  <c r="AD53" i="21"/>
  <c r="AH53" i="21" s="1"/>
  <c r="AD51" i="21"/>
  <c r="AH51" i="21" s="1"/>
  <c r="AD54" i="21"/>
  <c r="AH54" i="21" s="1"/>
  <c r="AD48" i="21"/>
  <c r="AH48" i="21" s="1"/>
  <c r="AD47" i="21"/>
  <c r="AH47" i="21" s="1"/>
  <c r="AD49" i="21"/>
  <c r="AH49" i="21" s="1"/>
  <c r="AD55" i="21"/>
  <c r="AH55" i="21" s="1"/>
  <c r="AD10" i="21"/>
  <c r="AH10" i="21" s="1"/>
  <c r="AD11" i="21"/>
  <c r="AH11" i="21" s="1"/>
  <c r="AD8" i="21"/>
  <c r="AH8" i="21" s="1"/>
  <c r="AD12" i="21"/>
  <c r="AH12" i="21" s="1"/>
  <c r="AD19" i="21"/>
  <c r="AH19" i="21" s="1"/>
  <c r="AD13" i="21"/>
  <c r="AH13" i="21" s="1"/>
  <c r="AD22" i="21"/>
  <c r="AH22" i="21" s="1"/>
  <c r="AD23" i="21"/>
  <c r="AH23" i="21" s="1"/>
  <c r="AD15" i="21"/>
  <c r="AH15" i="21" s="1"/>
  <c r="AD20" i="21"/>
  <c r="AH20" i="21" s="1"/>
  <c r="AD17" i="21"/>
  <c r="AH17" i="21" s="1"/>
  <c r="AD18" i="21"/>
  <c r="AH18" i="21" s="1"/>
  <c r="AD21" i="21"/>
  <c r="AH21" i="21" s="1"/>
  <c r="AD16" i="21"/>
  <c r="AH16" i="21" s="1"/>
  <c r="AD14" i="21"/>
  <c r="AH14" i="21" s="1"/>
  <c r="AD24" i="21"/>
  <c r="AH24" i="21" s="1"/>
  <c r="AD26" i="21"/>
  <c r="AH26" i="21" s="1"/>
  <c r="AD28" i="21"/>
  <c r="AH28" i="21" s="1"/>
  <c r="AD30" i="21"/>
  <c r="AH30" i="21" s="1"/>
  <c r="AD31" i="21"/>
  <c r="AH31" i="21" s="1"/>
  <c r="AD25" i="21"/>
  <c r="AH25" i="21" s="1"/>
  <c r="AD27" i="21"/>
  <c r="AH27" i="21" s="1"/>
  <c r="AD29" i="21"/>
  <c r="AH29" i="21" s="1"/>
  <c r="AD35" i="21"/>
  <c r="AH35" i="21" s="1"/>
  <c r="AD32" i="21"/>
  <c r="AH32" i="21" s="1"/>
  <c r="AD34" i="21"/>
  <c r="AH34" i="21" s="1"/>
  <c r="AD33" i="21"/>
  <c r="AH33" i="21" s="1"/>
  <c r="AD37" i="21"/>
  <c r="AH37" i="21" s="1"/>
  <c r="AD36" i="21"/>
  <c r="AH36" i="21" s="1"/>
  <c r="AD57" i="21"/>
  <c r="AH57" i="21" s="1"/>
  <c r="AD56" i="21"/>
  <c r="AH56" i="21" s="1"/>
  <c r="AD59" i="21"/>
  <c r="AH59" i="21" s="1"/>
  <c r="AD60" i="21"/>
  <c r="AH60" i="21" s="1"/>
  <c r="AD58" i="21"/>
  <c r="AH58" i="21" s="1"/>
  <c r="AD61" i="21"/>
  <c r="AH61" i="21" s="1"/>
  <c r="AD63" i="21"/>
  <c r="AH63" i="21" s="1"/>
  <c r="AD62" i="21"/>
  <c r="AH62" i="21" s="1"/>
  <c r="AD81" i="21"/>
  <c r="AH81" i="21" s="1"/>
  <c r="AD90" i="21"/>
  <c r="AH90" i="21" s="1"/>
  <c r="AD75" i="21"/>
  <c r="AH75" i="21" s="1"/>
  <c r="AD80" i="21"/>
  <c r="AH80" i="21" s="1"/>
  <c r="AD74" i="21"/>
  <c r="AH74" i="21" s="1"/>
  <c r="AD76" i="21"/>
  <c r="AH76" i="21" s="1"/>
  <c r="AD79" i="21"/>
  <c r="AH79" i="21" s="1"/>
  <c r="AD77" i="21"/>
  <c r="AH77" i="21" s="1"/>
  <c r="AD95" i="21"/>
  <c r="AH95" i="21" s="1"/>
  <c r="AD64" i="21"/>
  <c r="AH64" i="21" s="1"/>
  <c r="AD114" i="21"/>
  <c r="AH114" i="21" s="1"/>
  <c r="AD96" i="21"/>
  <c r="AH96" i="21" s="1"/>
  <c r="AD116" i="21"/>
  <c r="AH116" i="21" s="1"/>
  <c r="AD115" i="21"/>
  <c r="AH115" i="21" s="1"/>
  <c r="AD117" i="21"/>
  <c r="AH117" i="21" s="1"/>
  <c r="AD111" i="21"/>
  <c r="AH111" i="21" s="1"/>
  <c r="AD112" i="21"/>
  <c r="AH112" i="21" s="1"/>
  <c r="AD109" i="21"/>
  <c r="AH109" i="21" s="1"/>
  <c r="AD108" i="21"/>
  <c r="AH108" i="21" s="1"/>
  <c r="AD110" i="21"/>
  <c r="AH110" i="21" s="1"/>
  <c r="AD107" i="21"/>
  <c r="AH107" i="21" s="1"/>
  <c r="AD131" i="21"/>
  <c r="AH131" i="21" s="1"/>
  <c r="AD113" i="21"/>
  <c r="AH113" i="21" s="1"/>
  <c r="AD119" i="21"/>
  <c r="AH119" i="21" s="1"/>
  <c r="AD118" i="21"/>
  <c r="AH118" i="21" s="1"/>
  <c r="AD121" i="21"/>
  <c r="AH121" i="21" s="1"/>
  <c r="AD120" i="21"/>
  <c r="AH120" i="21" s="1"/>
  <c r="AD123" i="21"/>
  <c r="AH123" i="21" s="1"/>
  <c r="AD122" i="21"/>
  <c r="AH122" i="21" s="1"/>
  <c r="AD100" i="21"/>
  <c r="AH100" i="21" s="1"/>
  <c r="AD105" i="21"/>
  <c r="AH105" i="21" s="1"/>
  <c r="AD102" i="21"/>
  <c r="AH102" i="21" s="1"/>
  <c r="AD101" i="21"/>
  <c r="AH101" i="21" s="1"/>
  <c r="AD104" i="21"/>
  <c r="AH104" i="21" s="1"/>
  <c r="AD103" i="21"/>
  <c r="AH103" i="21" s="1"/>
  <c r="AD99" i="21"/>
  <c r="AH99" i="21" s="1"/>
  <c r="AD98" i="21"/>
  <c r="AH98" i="21" s="1"/>
  <c r="AD97" i="21"/>
  <c r="AH97" i="21" s="1"/>
  <c r="AD106" i="21"/>
  <c r="AH106" i="21" s="1"/>
  <c r="AD69" i="21"/>
  <c r="AH69" i="21" s="1"/>
  <c r="AD88" i="21"/>
  <c r="AH88" i="21" s="1"/>
  <c r="AD130" i="21"/>
  <c r="AD66" i="21"/>
  <c r="AH66" i="21" s="1"/>
  <c r="AD85" i="21"/>
  <c r="AH85" i="21" s="1"/>
  <c r="AD128" i="21"/>
  <c r="AD129" i="21"/>
  <c r="AD65" i="21"/>
  <c r="AH65" i="21" s="1"/>
  <c r="AD71" i="21"/>
  <c r="AH71" i="21" s="1"/>
  <c r="AD133" i="21"/>
  <c r="AD91" i="21"/>
  <c r="AH91" i="21" s="1"/>
  <c r="AD82" i="21"/>
  <c r="AH82" i="21" s="1"/>
  <c r="AD127" i="21"/>
  <c r="AD132" i="21"/>
  <c r="AD68" i="21"/>
  <c r="AH68" i="21" s="1"/>
  <c r="AD84" i="21"/>
  <c r="AH84" i="21" s="1"/>
  <c r="AD70" i="21"/>
  <c r="AH70" i="21" s="1"/>
  <c r="AD124" i="21"/>
  <c r="AD73" i="21"/>
  <c r="AH73" i="21" s="1"/>
  <c r="AD89" i="21"/>
  <c r="AH89" i="21" s="1"/>
  <c r="AD125" i="21"/>
  <c r="AD67" i="21"/>
  <c r="AH67" i="21" s="1"/>
  <c r="AD83" i="21"/>
  <c r="AH83" i="21" s="1"/>
  <c r="AD126" i="21"/>
  <c r="AD78" i="21"/>
  <c r="AH78" i="21" s="1"/>
  <c r="AD72" i="21"/>
  <c r="AH72" i="21" s="1"/>
  <c r="AC7" i="21"/>
  <c r="AG86" i="21" s="1"/>
  <c r="AK86" i="21" s="1"/>
  <c r="AB7" i="21"/>
  <c r="AF86" i="21" s="1"/>
  <c r="AJ86" i="21" s="1"/>
  <c r="AD7" i="21"/>
  <c r="AH7" i="21" s="1"/>
  <c r="AD87" i="21" l="1"/>
  <c r="AH87" i="21" s="1"/>
  <c r="AD86" i="21"/>
  <c r="AH86" i="21" s="1"/>
  <c r="AG92" i="21"/>
  <c r="AK92" i="21" s="1"/>
  <c r="AG87" i="21"/>
  <c r="AK87" i="21" s="1"/>
  <c r="AF92" i="21"/>
  <c r="AJ92" i="21" s="1"/>
  <c r="AF87" i="21"/>
  <c r="AJ87" i="21" s="1"/>
  <c r="AE92" i="21"/>
  <c r="AI92" i="21" s="1"/>
  <c r="AE87" i="21"/>
  <c r="AI87" i="21" s="1"/>
  <c r="AD93" i="21"/>
  <c r="AH93" i="21" s="1"/>
  <c r="AD92" i="21"/>
  <c r="AH92" i="21" s="1"/>
  <c r="AF94" i="21"/>
  <c r="AJ94" i="21" s="1"/>
  <c r="AF93" i="21"/>
  <c r="AJ93" i="21" s="1"/>
  <c r="AG94" i="21"/>
  <c r="AK94" i="21" s="1"/>
  <c r="AG93" i="21"/>
  <c r="AK93" i="21" s="1"/>
  <c r="AE94" i="21"/>
  <c r="AI94" i="21" s="1"/>
  <c r="AE93" i="21"/>
  <c r="AI93" i="21" s="1"/>
  <c r="AD9" i="21"/>
  <c r="AH9" i="21" s="1"/>
  <c r="AD94" i="21"/>
  <c r="AH94" i="21" s="1"/>
  <c r="AD43" i="21"/>
  <c r="AH43" i="21" s="1"/>
  <c r="AE7" i="21"/>
  <c r="AI7" i="21" s="1"/>
  <c r="AE51" i="21"/>
  <c r="AI51" i="21" s="1"/>
  <c r="AE49" i="21"/>
  <c r="AI49" i="21" s="1"/>
  <c r="AE15" i="21"/>
  <c r="AI15" i="21" s="1"/>
  <c r="AE14" i="21"/>
  <c r="AI14" i="21" s="1"/>
  <c r="AE18" i="21"/>
  <c r="AI18" i="21" s="1"/>
  <c r="AE25" i="21"/>
  <c r="AI25" i="21" s="1"/>
  <c r="AE8" i="21"/>
  <c r="AI8" i="21" s="1"/>
  <c r="AE27" i="21"/>
  <c r="AI27" i="21" s="1"/>
  <c r="AE26" i="21"/>
  <c r="AI26" i="21" s="1"/>
  <c r="AE28" i="21"/>
  <c r="AI28" i="21" s="1"/>
  <c r="AE24" i="21"/>
  <c r="AI24" i="21" s="1"/>
  <c r="AE55" i="21"/>
  <c r="AI55" i="21" s="1"/>
  <c r="AE13" i="21"/>
  <c r="AI13" i="21" s="1"/>
  <c r="AE32" i="21"/>
  <c r="AI32" i="21" s="1"/>
  <c r="AE11" i="21"/>
  <c r="AI11" i="21" s="1"/>
  <c r="AE57" i="21"/>
  <c r="AI57" i="21" s="1"/>
  <c r="AE50" i="21"/>
  <c r="AI50" i="21" s="1"/>
  <c r="AE34" i="21"/>
  <c r="AI34" i="21" s="1"/>
  <c r="AE17" i="21"/>
  <c r="AI17" i="21" s="1"/>
  <c r="AE30" i="21"/>
  <c r="AI30" i="21" s="1"/>
  <c r="AE22" i="21"/>
  <c r="AI22" i="21" s="1"/>
  <c r="AE19" i="21"/>
  <c r="AI19" i="21" s="1"/>
  <c r="AE21" i="21"/>
  <c r="AI21" i="21" s="1"/>
  <c r="AE16" i="21"/>
  <c r="AI16" i="21" s="1"/>
  <c r="AE9" i="21"/>
  <c r="AI9" i="21" s="1"/>
  <c r="AE12" i="21"/>
  <c r="AI12" i="21" s="1"/>
  <c r="AO12" i="21" s="1"/>
  <c r="AE41" i="21"/>
  <c r="AI41" i="21" s="1"/>
  <c r="AE46" i="21"/>
  <c r="AI46" i="21" s="1"/>
  <c r="AE48" i="21"/>
  <c r="AI48" i="21" s="1"/>
  <c r="AE47" i="21"/>
  <c r="AI47" i="21" s="1"/>
  <c r="AE56" i="21"/>
  <c r="AI56" i="21" s="1"/>
  <c r="AE35" i="21"/>
  <c r="AI35" i="21" s="1"/>
  <c r="AE40" i="21"/>
  <c r="AI40" i="21" s="1"/>
  <c r="AE37" i="21"/>
  <c r="AI37" i="21" s="1"/>
  <c r="AE45" i="21"/>
  <c r="AI45" i="21" s="1"/>
  <c r="AE20" i="21"/>
  <c r="AI20" i="21" s="1"/>
  <c r="AE39" i="21"/>
  <c r="AI39" i="21" s="1"/>
  <c r="AE10" i="21"/>
  <c r="AI10" i="21" s="1"/>
  <c r="AE33" i="21"/>
  <c r="AI33" i="21" s="1"/>
  <c r="AE23" i="21"/>
  <c r="AI23" i="21" s="1"/>
  <c r="AE44" i="21"/>
  <c r="AI44" i="21" s="1"/>
  <c r="AE54" i="21"/>
  <c r="AI54" i="21" s="1"/>
  <c r="AE43" i="21"/>
  <c r="AI43" i="21" s="1"/>
  <c r="AE52" i="21"/>
  <c r="AI52" i="21" s="1"/>
  <c r="AE36" i="21"/>
  <c r="AI36" i="21" s="1"/>
  <c r="AE42" i="21"/>
  <c r="AI42" i="21" s="1"/>
  <c r="AE29" i="21"/>
  <c r="AI29" i="21" s="1"/>
  <c r="AE31" i="21"/>
  <c r="AI31" i="21" s="1"/>
  <c r="AE53" i="21"/>
  <c r="AI53" i="21" s="1"/>
  <c r="AE38" i="21"/>
  <c r="AI38" i="21" s="1"/>
  <c r="AE63" i="21"/>
  <c r="AI63" i="21" s="1"/>
  <c r="AE62" i="21"/>
  <c r="AI62" i="21" s="1"/>
  <c r="AE61" i="21"/>
  <c r="AI61" i="21" s="1"/>
  <c r="AE59" i="21"/>
  <c r="AI59" i="21" s="1"/>
  <c r="AE60" i="21"/>
  <c r="AI60" i="21" s="1"/>
  <c r="AE58" i="21"/>
  <c r="AI58" i="21" s="1"/>
  <c r="AE64" i="21"/>
  <c r="AI64" i="21" s="1"/>
  <c r="AE79" i="21"/>
  <c r="AI79" i="21" s="1"/>
  <c r="AE77" i="21"/>
  <c r="AI77" i="21" s="1"/>
  <c r="AE75" i="21"/>
  <c r="AI75" i="21" s="1"/>
  <c r="AE80" i="21"/>
  <c r="AI80" i="21" s="1"/>
  <c r="AE81" i="21"/>
  <c r="AI81" i="21" s="1"/>
  <c r="AE74" i="21"/>
  <c r="AI74" i="21" s="1"/>
  <c r="AE90" i="21"/>
  <c r="AI90" i="21" s="1"/>
  <c r="AE76" i="21"/>
  <c r="AI76" i="21" s="1"/>
  <c r="AE96" i="21"/>
  <c r="AI96" i="21" s="1"/>
  <c r="AE95" i="21"/>
  <c r="AI95" i="21" s="1"/>
  <c r="AE117" i="21"/>
  <c r="AI117" i="21" s="1"/>
  <c r="AE114" i="21"/>
  <c r="AI114" i="21" s="1"/>
  <c r="AE116" i="21"/>
  <c r="AI116" i="21" s="1"/>
  <c r="AE115" i="21"/>
  <c r="AI115" i="21" s="1"/>
  <c r="AE100" i="21"/>
  <c r="AI100" i="21" s="1"/>
  <c r="AE101" i="21"/>
  <c r="AI101" i="21" s="1"/>
  <c r="AE97" i="21"/>
  <c r="AI97" i="21" s="1"/>
  <c r="AE108" i="21"/>
  <c r="AI108" i="21" s="1"/>
  <c r="AE102" i="21"/>
  <c r="AI102" i="21" s="1"/>
  <c r="AE106" i="21"/>
  <c r="AI106" i="21" s="1"/>
  <c r="AE111" i="21"/>
  <c r="AI111" i="21" s="1"/>
  <c r="AE123" i="21"/>
  <c r="AI123" i="21" s="1"/>
  <c r="AE113" i="21"/>
  <c r="AI113" i="21" s="1"/>
  <c r="AE110" i="21"/>
  <c r="AI110" i="21" s="1"/>
  <c r="AE99" i="21"/>
  <c r="AI99" i="21" s="1"/>
  <c r="AE121" i="21"/>
  <c r="AI121" i="21" s="1"/>
  <c r="AE103" i="21"/>
  <c r="AI103" i="21" s="1"/>
  <c r="AE98" i="21"/>
  <c r="AI98" i="21" s="1"/>
  <c r="AE105" i="21"/>
  <c r="AI105" i="21" s="1"/>
  <c r="AE112" i="21"/>
  <c r="AI112" i="21" s="1"/>
  <c r="AE122" i="21"/>
  <c r="AI122" i="21" s="1"/>
  <c r="AE104" i="21"/>
  <c r="AI104" i="21" s="1"/>
  <c r="AE107" i="21"/>
  <c r="AI107" i="21" s="1"/>
  <c r="AE131" i="21"/>
  <c r="AI131" i="21" s="1"/>
  <c r="AE120" i="21"/>
  <c r="AI120" i="21" s="1"/>
  <c r="AE118" i="21"/>
  <c r="AI118" i="21" s="1"/>
  <c r="AE109" i="21"/>
  <c r="AI109" i="21" s="1"/>
  <c r="AE119" i="21"/>
  <c r="AI119" i="21" s="1"/>
  <c r="AE91" i="21"/>
  <c r="AI91" i="21" s="1"/>
  <c r="AE130" i="21"/>
  <c r="AI130" i="21" s="1"/>
  <c r="AE88" i="21"/>
  <c r="AI88" i="21" s="1"/>
  <c r="AE83" i="21"/>
  <c r="AI83" i="21" s="1"/>
  <c r="AE66" i="21"/>
  <c r="AI66" i="21" s="1"/>
  <c r="AE84" i="21"/>
  <c r="AI84" i="21" s="1"/>
  <c r="AE78" i="21"/>
  <c r="AI78" i="21" s="1"/>
  <c r="AE129" i="21"/>
  <c r="AI129" i="21" s="1"/>
  <c r="AE89" i="21"/>
  <c r="AI89" i="21" s="1"/>
  <c r="AE72" i="21"/>
  <c r="AI72" i="21" s="1"/>
  <c r="AE65" i="21"/>
  <c r="AI65" i="21" s="1"/>
  <c r="AE71" i="21"/>
  <c r="AI71" i="21" s="1"/>
  <c r="AE128" i="21"/>
  <c r="AI128" i="21" s="1"/>
  <c r="AE82" i="21"/>
  <c r="AI82" i="21" s="1"/>
  <c r="AE70" i="21"/>
  <c r="AI70" i="21" s="1"/>
  <c r="AE127" i="21"/>
  <c r="AI127" i="21" s="1"/>
  <c r="AE73" i="21"/>
  <c r="AI73" i="21" s="1"/>
  <c r="AE126" i="21"/>
  <c r="AI126" i="21" s="1"/>
  <c r="AE133" i="21"/>
  <c r="AI133" i="21" s="1"/>
  <c r="AE68" i="21"/>
  <c r="AI68" i="21" s="1"/>
  <c r="AE132" i="21"/>
  <c r="AI132" i="21" s="1"/>
  <c r="AE85" i="21"/>
  <c r="AI85" i="21" s="1"/>
  <c r="AE69" i="21"/>
  <c r="AI69" i="21" s="1"/>
  <c r="AE67" i="21"/>
  <c r="AI67" i="21" s="1"/>
  <c r="AE124" i="21"/>
  <c r="AI124" i="21" s="1"/>
  <c r="AE125" i="21"/>
  <c r="AI125" i="21" s="1"/>
  <c r="AF38" i="21"/>
  <c r="AJ38" i="21" s="1"/>
  <c r="AF44" i="21"/>
  <c r="AJ44" i="21" s="1"/>
  <c r="AF46" i="21"/>
  <c r="AJ46" i="21" s="1"/>
  <c r="AF42" i="21"/>
  <c r="AJ42" i="21" s="1"/>
  <c r="AF40" i="21"/>
  <c r="AJ40" i="21" s="1"/>
  <c r="AF41" i="21"/>
  <c r="AJ41" i="21" s="1"/>
  <c r="AF43" i="21"/>
  <c r="AJ43" i="21" s="1"/>
  <c r="AF45" i="21"/>
  <c r="AJ45" i="21" s="1"/>
  <c r="AF39" i="21"/>
  <c r="AJ39" i="21" s="1"/>
  <c r="AG39" i="21"/>
  <c r="AK39" i="21" s="1"/>
  <c r="AG41" i="21"/>
  <c r="AK41" i="21" s="1"/>
  <c r="AG42" i="21"/>
  <c r="AK42" i="21" s="1"/>
  <c r="AG43" i="21"/>
  <c r="AK43" i="21" s="1"/>
  <c r="AG44" i="21"/>
  <c r="AK44" i="21" s="1"/>
  <c r="AG45" i="21"/>
  <c r="AK45" i="21" s="1"/>
  <c r="AG46" i="21"/>
  <c r="AK46" i="21" s="1"/>
  <c r="AG38" i="21"/>
  <c r="AK38" i="21" s="1"/>
  <c r="AG40" i="21"/>
  <c r="AK40" i="21" s="1"/>
  <c r="AF52" i="21"/>
  <c r="AJ52" i="21" s="1"/>
  <c r="AF54" i="21"/>
  <c r="AJ54" i="21" s="1"/>
  <c r="AF47" i="21"/>
  <c r="AJ47" i="21" s="1"/>
  <c r="AF48" i="21"/>
  <c r="AJ48" i="21" s="1"/>
  <c r="AF49" i="21"/>
  <c r="AJ49" i="21" s="1"/>
  <c r="AF50" i="21"/>
  <c r="AJ50" i="21" s="1"/>
  <c r="AF51" i="21"/>
  <c r="AJ51" i="21" s="1"/>
  <c r="AF53" i="21"/>
  <c r="AJ53" i="21" s="1"/>
  <c r="AF55" i="21"/>
  <c r="AJ55" i="21" s="1"/>
  <c r="AG49" i="21"/>
  <c r="AK49" i="21" s="1"/>
  <c r="AG50" i="21"/>
  <c r="AK50" i="21" s="1"/>
  <c r="AG55" i="21"/>
  <c r="AK55" i="21" s="1"/>
  <c r="AG48" i="21"/>
  <c r="AK48" i="21" s="1"/>
  <c r="AG52" i="21"/>
  <c r="AK52" i="21" s="1"/>
  <c r="AG54" i="21"/>
  <c r="AK54" i="21" s="1"/>
  <c r="AG51" i="21"/>
  <c r="AK51" i="21" s="1"/>
  <c r="AG53" i="21"/>
  <c r="AK53" i="21" s="1"/>
  <c r="AG47" i="21"/>
  <c r="AK47" i="21" s="1"/>
  <c r="AF10" i="21"/>
  <c r="AJ10" i="21" s="1"/>
  <c r="AF13" i="21"/>
  <c r="AJ13" i="21" s="1"/>
  <c r="AF8" i="21"/>
  <c r="AJ8" i="21" s="1"/>
  <c r="AF14" i="21"/>
  <c r="AJ14" i="21" s="1"/>
  <c r="AF9" i="21"/>
  <c r="AJ9" i="21" s="1"/>
  <c r="AF11" i="21"/>
  <c r="AJ11" i="21" s="1"/>
  <c r="AF12" i="21"/>
  <c r="AJ12" i="21" s="1"/>
  <c r="AF15" i="21"/>
  <c r="AJ15" i="21" s="1"/>
  <c r="AF18" i="21"/>
  <c r="AJ18" i="21" s="1"/>
  <c r="AF16" i="21"/>
  <c r="AJ16" i="21" s="1"/>
  <c r="AF17" i="21"/>
  <c r="AJ17" i="21" s="1"/>
  <c r="AF20" i="21"/>
  <c r="AJ20" i="21" s="1"/>
  <c r="AF23" i="21"/>
  <c r="AJ23" i="21" s="1"/>
  <c r="AF21" i="21"/>
  <c r="AJ21" i="21" s="1"/>
  <c r="AF19" i="21"/>
  <c r="AJ19" i="21" s="1"/>
  <c r="AF22" i="21"/>
  <c r="AJ22" i="21" s="1"/>
  <c r="AG8" i="21"/>
  <c r="AK8" i="21" s="1"/>
  <c r="AG12" i="21"/>
  <c r="AK12" i="21" s="1"/>
  <c r="AG17" i="21"/>
  <c r="AK17" i="21" s="1"/>
  <c r="AG20" i="21"/>
  <c r="AK20" i="21" s="1"/>
  <c r="AG9" i="21"/>
  <c r="AK9" i="21" s="1"/>
  <c r="AG10" i="21"/>
  <c r="AK10" i="21" s="1"/>
  <c r="AG11" i="21"/>
  <c r="AK11" i="21" s="1"/>
  <c r="AG13" i="21"/>
  <c r="AK13" i="21" s="1"/>
  <c r="AG16" i="21"/>
  <c r="AK16" i="21" s="1"/>
  <c r="AG18" i="21"/>
  <c r="AK18" i="21" s="1"/>
  <c r="AG14" i="21"/>
  <c r="AK14" i="21" s="1"/>
  <c r="AG15" i="21"/>
  <c r="AK15" i="21" s="1"/>
  <c r="AG19" i="21"/>
  <c r="AK19" i="21" s="1"/>
  <c r="AG21" i="21"/>
  <c r="AK21" i="21" s="1"/>
  <c r="AG22" i="21"/>
  <c r="AK22" i="21" s="1"/>
  <c r="AG23" i="21"/>
  <c r="AK23" i="21" s="1"/>
  <c r="AF27" i="21"/>
  <c r="AJ27" i="21" s="1"/>
  <c r="AF24" i="21"/>
  <c r="AJ24" i="21" s="1"/>
  <c r="AF26" i="21"/>
  <c r="AJ26" i="21" s="1"/>
  <c r="AF25" i="21"/>
  <c r="AJ25" i="21" s="1"/>
  <c r="AF31" i="21"/>
  <c r="AJ31" i="21" s="1"/>
  <c r="AF28" i="21"/>
  <c r="AJ28" i="21" s="1"/>
  <c r="AF30" i="21"/>
  <c r="AJ30" i="21" s="1"/>
  <c r="AF29" i="21"/>
  <c r="AJ29" i="21" s="1"/>
  <c r="AG25" i="21"/>
  <c r="AK25" i="21" s="1"/>
  <c r="AG27" i="21"/>
  <c r="AK27" i="21" s="1"/>
  <c r="AG31" i="21"/>
  <c r="AK31" i="21" s="1"/>
  <c r="AG24" i="21"/>
  <c r="AK24" i="21" s="1"/>
  <c r="AG29" i="21"/>
  <c r="AK29" i="21" s="1"/>
  <c r="AG30" i="21"/>
  <c r="AK30" i="21" s="1"/>
  <c r="AG26" i="21"/>
  <c r="AK26" i="21" s="1"/>
  <c r="AG28" i="21"/>
  <c r="AK28" i="21" s="1"/>
  <c r="AG32" i="21"/>
  <c r="AK32" i="21" s="1"/>
  <c r="AG33" i="21"/>
  <c r="AK33" i="21" s="1"/>
  <c r="AG34" i="21"/>
  <c r="AK34" i="21" s="1"/>
  <c r="AG35" i="21"/>
  <c r="AK35" i="21" s="1"/>
  <c r="AF34" i="21"/>
  <c r="AJ34" i="21" s="1"/>
  <c r="AF35" i="21"/>
  <c r="AJ35" i="21" s="1"/>
  <c r="AF32" i="21"/>
  <c r="AJ32" i="21" s="1"/>
  <c r="AF33" i="21"/>
  <c r="AJ33" i="21" s="1"/>
  <c r="AG37" i="21"/>
  <c r="AK37" i="21" s="1"/>
  <c r="AG36" i="21"/>
  <c r="AK36" i="21" s="1"/>
  <c r="AF37" i="21"/>
  <c r="AJ37" i="21" s="1"/>
  <c r="AF36" i="21"/>
  <c r="AJ36" i="21" s="1"/>
  <c r="AF57" i="21"/>
  <c r="AJ57" i="21" s="1"/>
  <c r="AF56" i="21"/>
  <c r="AJ56" i="21" s="1"/>
  <c r="AG57" i="21"/>
  <c r="AK57" i="21" s="1"/>
  <c r="AG56" i="21"/>
  <c r="AK56" i="21" s="1"/>
  <c r="AF59" i="21"/>
  <c r="AJ59" i="21" s="1"/>
  <c r="AF60" i="21"/>
  <c r="AJ60" i="21" s="1"/>
  <c r="AG59" i="21"/>
  <c r="AK59" i="21" s="1"/>
  <c r="AG60" i="21"/>
  <c r="AK60" i="21" s="1"/>
  <c r="AG58" i="21"/>
  <c r="AK58" i="21" s="1"/>
  <c r="AG61" i="21"/>
  <c r="AK61" i="21" s="1"/>
  <c r="AF61" i="21"/>
  <c r="AJ61" i="21" s="1"/>
  <c r="AF58" i="21"/>
  <c r="AJ58" i="21" s="1"/>
  <c r="AG63" i="21"/>
  <c r="AK63" i="21" s="1"/>
  <c r="AG62" i="21"/>
  <c r="AK62" i="21" s="1"/>
  <c r="AF63" i="21"/>
  <c r="AJ63" i="21" s="1"/>
  <c r="AF62" i="21"/>
  <c r="AJ62" i="21" s="1"/>
  <c r="AF81" i="21"/>
  <c r="AJ81" i="21" s="1"/>
  <c r="AF90" i="21"/>
  <c r="AJ90" i="21" s="1"/>
  <c r="AG81" i="21"/>
  <c r="AK81" i="21" s="1"/>
  <c r="AG90" i="21"/>
  <c r="AK90" i="21" s="1"/>
  <c r="AF75" i="21"/>
  <c r="AJ75" i="21" s="1"/>
  <c r="AF80" i="21"/>
  <c r="AJ80" i="21" s="1"/>
  <c r="AG75" i="21"/>
  <c r="AK75" i="21" s="1"/>
  <c r="AG80" i="21"/>
  <c r="AK80" i="21" s="1"/>
  <c r="AF74" i="21"/>
  <c r="AJ74" i="21" s="1"/>
  <c r="AF76" i="21"/>
  <c r="AJ76" i="21" s="1"/>
  <c r="AG74" i="21"/>
  <c r="AK74" i="21" s="1"/>
  <c r="AG76" i="21"/>
  <c r="AK76" i="21" s="1"/>
  <c r="AG79" i="21"/>
  <c r="AK79" i="21" s="1"/>
  <c r="AG77" i="21"/>
  <c r="AK77" i="21" s="1"/>
  <c r="AF79" i="21"/>
  <c r="AJ79" i="21" s="1"/>
  <c r="AF77" i="21"/>
  <c r="AJ77" i="21" s="1"/>
  <c r="AG95" i="21"/>
  <c r="AK95" i="21" s="1"/>
  <c r="AG64" i="21"/>
  <c r="AK64" i="21" s="1"/>
  <c r="AF95" i="21"/>
  <c r="AJ95" i="21" s="1"/>
  <c r="AF64" i="21"/>
  <c r="AJ64" i="21" s="1"/>
  <c r="AF114" i="21"/>
  <c r="AJ114" i="21" s="1"/>
  <c r="AF96" i="21"/>
  <c r="AJ96" i="21" s="1"/>
  <c r="AG114" i="21"/>
  <c r="AK114" i="21" s="1"/>
  <c r="AG96" i="21"/>
  <c r="AK96" i="21" s="1"/>
  <c r="AG116" i="21"/>
  <c r="AK116" i="21" s="1"/>
  <c r="AG115" i="21"/>
  <c r="AK115" i="21" s="1"/>
  <c r="AF116" i="21"/>
  <c r="AJ116" i="21" s="1"/>
  <c r="AF115" i="21"/>
  <c r="AJ115" i="21" s="1"/>
  <c r="AF117" i="21"/>
  <c r="AJ117" i="21" s="1"/>
  <c r="AG117" i="21"/>
  <c r="AK117" i="21" s="1"/>
  <c r="AF111" i="21"/>
  <c r="AJ111" i="21" s="1"/>
  <c r="AF112" i="21"/>
  <c r="AJ112" i="21" s="1"/>
  <c r="AG111" i="21"/>
  <c r="AK111" i="21" s="1"/>
  <c r="AG112" i="21"/>
  <c r="AK112" i="21" s="1"/>
  <c r="AF109" i="21"/>
  <c r="AJ109" i="21" s="1"/>
  <c r="AF108" i="21"/>
  <c r="AJ108" i="21" s="1"/>
  <c r="AG109" i="21"/>
  <c r="AK109" i="21" s="1"/>
  <c r="AG108" i="21"/>
  <c r="AK108" i="21" s="1"/>
  <c r="AG110" i="21"/>
  <c r="AK110" i="21" s="1"/>
  <c r="AG107" i="21"/>
  <c r="AK107" i="21" s="1"/>
  <c r="AF110" i="21"/>
  <c r="AJ110" i="21" s="1"/>
  <c r="AF107" i="21"/>
  <c r="AJ107" i="21" s="1"/>
  <c r="AF131" i="21"/>
  <c r="AJ131" i="21" s="1"/>
  <c r="AF113" i="21"/>
  <c r="AJ113" i="21" s="1"/>
  <c r="AG131" i="21"/>
  <c r="AK131" i="21" s="1"/>
  <c r="AG113" i="21"/>
  <c r="AK113" i="21" s="1"/>
  <c r="AF119" i="21"/>
  <c r="AJ119" i="21" s="1"/>
  <c r="AF118" i="21"/>
  <c r="AJ118" i="21" s="1"/>
  <c r="AG119" i="21"/>
  <c r="AK119" i="21" s="1"/>
  <c r="AG118" i="21"/>
  <c r="AK118" i="21" s="1"/>
  <c r="AG121" i="21"/>
  <c r="AK121" i="21" s="1"/>
  <c r="AG120" i="21"/>
  <c r="AK120" i="21" s="1"/>
  <c r="AF121" i="21"/>
  <c r="AJ121" i="21" s="1"/>
  <c r="AF120" i="21"/>
  <c r="AJ120" i="21" s="1"/>
  <c r="AG123" i="21"/>
  <c r="AK123" i="21" s="1"/>
  <c r="AG122" i="21"/>
  <c r="AK122" i="21" s="1"/>
  <c r="AF123" i="21"/>
  <c r="AJ123" i="21" s="1"/>
  <c r="AF122" i="21"/>
  <c r="AJ122" i="21" s="1"/>
  <c r="AF100" i="21"/>
  <c r="AJ100" i="21" s="1"/>
  <c r="AF105" i="21"/>
  <c r="AJ105" i="21" s="1"/>
  <c r="AG100" i="21"/>
  <c r="AK100" i="21" s="1"/>
  <c r="AG105" i="21"/>
  <c r="AK105" i="21" s="1"/>
  <c r="AF102" i="21"/>
  <c r="AJ102" i="21" s="1"/>
  <c r="AF101" i="21"/>
  <c r="AJ101" i="21" s="1"/>
  <c r="AG102" i="21"/>
  <c r="AK102" i="21" s="1"/>
  <c r="AG101" i="21"/>
  <c r="AK101" i="21" s="1"/>
  <c r="AF104" i="21"/>
  <c r="AJ104" i="21" s="1"/>
  <c r="AF103" i="21"/>
  <c r="AJ103" i="21" s="1"/>
  <c r="AG104" i="21"/>
  <c r="AK104" i="21" s="1"/>
  <c r="AG103" i="21"/>
  <c r="AK103" i="21" s="1"/>
  <c r="AG99" i="21"/>
  <c r="AK99" i="21" s="1"/>
  <c r="AG98" i="21"/>
  <c r="AK98" i="21" s="1"/>
  <c r="AF99" i="21"/>
  <c r="AJ99" i="21" s="1"/>
  <c r="AF98" i="21"/>
  <c r="AJ98" i="21" s="1"/>
  <c r="AF97" i="21"/>
  <c r="AJ97" i="21" s="1"/>
  <c r="AF106" i="21"/>
  <c r="AJ106" i="21" s="1"/>
  <c r="AG97" i="21"/>
  <c r="AK97" i="21" s="1"/>
  <c r="AG106" i="21"/>
  <c r="AK106" i="21" s="1"/>
  <c r="AF126" i="21"/>
  <c r="AJ126" i="21" s="1"/>
  <c r="AF125" i="21"/>
  <c r="AJ125" i="21" s="1"/>
  <c r="AF129" i="21"/>
  <c r="AJ129" i="21" s="1"/>
  <c r="AF69" i="21"/>
  <c r="AJ69" i="21" s="1"/>
  <c r="AF132" i="21"/>
  <c r="AJ132" i="21" s="1"/>
  <c r="AF68" i="21"/>
  <c r="AJ68" i="21" s="1"/>
  <c r="AF66" i="21"/>
  <c r="AJ66" i="21" s="1"/>
  <c r="AF133" i="21"/>
  <c r="AJ133" i="21" s="1"/>
  <c r="AF124" i="21"/>
  <c r="AJ124" i="21" s="1"/>
  <c r="AF84" i="21"/>
  <c r="AJ84" i="21" s="1"/>
  <c r="AF82" i="21"/>
  <c r="AJ82" i="21" s="1"/>
  <c r="AF71" i="21"/>
  <c r="AJ71" i="21" s="1"/>
  <c r="AF89" i="21"/>
  <c r="AJ89" i="21" s="1"/>
  <c r="AF127" i="21"/>
  <c r="AJ127" i="21" s="1"/>
  <c r="AF130" i="21"/>
  <c r="AJ130" i="21" s="1"/>
  <c r="AF128" i="21"/>
  <c r="AJ128" i="21" s="1"/>
  <c r="AF73" i="21"/>
  <c r="AJ73" i="21" s="1"/>
  <c r="AF67" i="21"/>
  <c r="AJ67" i="21" s="1"/>
  <c r="AF78" i="21"/>
  <c r="AJ78" i="21" s="1"/>
  <c r="AF72" i="21"/>
  <c r="AJ72" i="21" s="1"/>
  <c r="AF70" i="21"/>
  <c r="AJ70" i="21" s="1"/>
  <c r="AF85" i="21"/>
  <c r="AJ85" i="21" s="1"/>
  <c r="AF83" i="21"/>
  <c r="AJ83" i="21" s="1"/>
  <c r="AF91" i="21"/>
  <c r="AJ91" i="21" s="1"/>
  <c r="AF88" i="21"/>
  <c r="AJ88" i="21" s="1"/>
  <c r="AF65" i="21"/>
  <c r="AJ65" i="21" s="1"/>
  <c r="AG133" i="21"/>
  <c r="AK133" i="21" s="1"/>
  <c r="AG78" i="21"/>
  <c r="AK78" i="21" s="1"/>
  <c r="AG129" i="21"/>
  <c r="AK129" i="21" s="1"/>
  <c r="AG130" i="21"/>
  <c r="AK130" i="21" s="1"/>
  <c r="AG91" i="21"/>
  <c r="AK91" i="21" s="1"/>
  <c r="AG85" i="21"/>
  <c r="AK85" i="21" s="1"/>
  <c r="AG128" i="21"/>
  <c r="AK128" i="21" s="1"/>
  <c r="AG132" i="21"/>
  <c r="AK132" i="21" s="1"/>
  <c r="AG82" i="21"/>
  <c r="AK82" i="21" s="1"/>
  <c r="AG66" i="21"/>
  <c r="AK66" i="21" s="1"/>
  <c r="AG73" i="21"/>
  <c r="AK73" i="21" s="1"/>
  <c r="AG127" i="21"/>
  <c r="AK127" i="21" s="1"/>
  <c r="AG7" i="21"/>
  <c r="AK7" i="21" s="1"/>
  <c r="AG65" i="21"/>
  <c r="AK65" i="21" s="1"/>
  <c r="AG88" i="21"/>
  <c r="AK88" i="21" s="1"/>
  <c r="AF7" i="21"/>
  <c r="AJ7" i="21" s="1"/>
  <c r="AG72" i="21"/>
  <c r="AK72" i="21" s="1"/>
  <c r="AG67" i="21"/>
  <c r="AK67" i="21" s="1"/>
  <c r="AG71" i="21"/>
  <c r="AK71" i="21" s="1"/>
  <c r="AG70" i="21"/>
  <c r="AK70" i="21" s="1"/>
  <c r="AG126" i="21"/>
  <c r="AK126" i="21" s="1"/>
  <c r="AG124" i="21"/>
  <c r="AK124" i="21" s="1"/>
  <c r="AG84" i="21"/>
  <c r="AK84" i="21" s="1"/>
  <c r="AG68" i="21"/>
  <c r="AK68" i="21" s="1"/>
  <c r="AG69" i="21"/>
  <c r="AK69" i="21" s="1"/>
  <c r="AG125" i="21"/>
  <c r="AK125" i="21" s="1"/>
  <c r="AG83" i="21"/>
  <c r="AK83" i="21" s="1"/>
  <c r="AG89" i="21"/>
  <c r="AK89" i="21" s="1"/>
  <c r="BG9" i="22"/>
  <c r="BY7" i="22"/>
  <c r="BZ7" i="22" s="1"/>
  <c r="CA7" i="22" s="1"/>
  <c r="CB7" i="22" s="1"/>
  <c r="BY8" i="22"/>
  <c r="BZ8" i="22" s="1"/>
  <c r="CA8" i="22" s="1"/>
  <c r="CB8" i="22" s="1"/>
  <c r="BY9" i="22"/>
  <c r="BZ9" i="22" s="1"/>
  <c r="CA9" i="22" s="1"/>
  <c r="CB9" i="22" s="1"/>
  <c r="BY10" i="22"/>
  <c r="BZ10" i="22" s="1"/>
  <c r="CA10" i="22" s="1"/>
  <c r="CB10" i="22" s="1"/>
  <c r="BY11" i="22"/>
  <c r="BZ11" i="22" s="1"/>
  <c r="CA11" i="22" s="1"/>
  <c r="CB11" i="22" s="1"/>
  <c r="BY12" i="22"/>
  <c r="BZ12" i="22" s="1"/>
  <c r="CA12" i="22" s="1"/>
  <c r="CB12" i="22" s="1"/>
  <c r="BY13" i="22"/>
  <c r="BZ13" i="22" s="1"/>
  <c r="CA13" i="22" s="1"/>
  <c r="CB13" i="22" s="1"/>
  <c r="BY14" i="22"/>
  <c r="BZ14" i="22" s="1"/>
  <c r="CA14" i="22" s="1"/>
  <c r="CB14" i="22" s="1"/>
  <c r="BY15" i="22"/>
  <c r="BZ15" i="22" s="1"/>
  <c r="CA15" i="22" s="1"/>
  <c r="CB15" i="22" s="1"/>
  <c r="BY16" i="22"/>
  <c r="BZ16" i="22" s="1"/>
  <c r="CA16" i="22" s="1"/>
  <c r="CB16" i="22" s="1"/>
  <c r="BY17" i="22"/>
  <c r="BZ17" i="22" s="1"/>
  <c r="CA17" i="22" s="1"/>
  <c r="CB17" i="22" s="1"/>
  <c r="BY18" i="22"/>
  <c r="BZ18" i="22" s="1"/>
  <c r="CA18" i="22" s="1"/>
  <c r="CB18" i="22" s="1"/>
  <c r="BY19" i="22"/>
  <c r="BZ19" i="22" s="1"/>
  <c r="CA19" i="22" s="1"/>
  <c r="CB19" i="22" s="1"/>
  <c r="BY20" i="22"/>
  <c r="BZ20" i="22" s="1"/>
  <c r="CA20" i="22" s="1"/>
  <c r="CB20" i="22" s="1"/>
  <c r="BY21" i="22"/>
  <c r="BZ21" i="22" s="1"/>
  <c r="CA21" i="22" s="1"/>
  <c r="CB21" i="22" s="1"/>
  <c r="BY22" i="22"/>
  <c r="BZ22" i="22" s="1"/>
  <c r="CA22" i="22" s="1"/>
  <c r="CB22" i="22" s="1"/>
  <c r="BY23" i="22"/>
  <c r="BZ23" i="22" s="1"/>
  <c r="CA23" i="22" s="1"/>
  <c r="CB23" i="22" s="1"/>
  <c r="BY24" i="22"/>
  <c r="BZ24" i="22" s="1"/>
  <c r="CA24" i="22" s="1"/>
  <c r="CB24" i="22" s="1"/>
  <c r="BY25" i="22"/>
  <c r="BZ25" i="22" s="1"/>
  <c r="CA25" i="22" s="1"/>
  <c r="CB25" i="22" s="1"/>
  <c r="BY26" i="22"/>
  <c r="BZ26" i="22" s="1"/>
  <c r="CA26" i="22" s="1"/>
  <c r="CB26" i="22" s="1"/>
  <c r="BY27" i="22"/>
  <c r="BZ27" i="22" s="1"/>
  <c r="CA27" i="22" s="1"/>
  <c r="CB27" i="22" s="1"/>
  <c r="BY28" i="22"/>
  <c r="BZ28" i="22" s="1"/>
  <c r="CA28" i="22" s="1"/>
  <c r="CB28" i="22" s="1"/>
  <c r="BY29" i="22"/>
  <c r="BZ29" i="22" s="1"/>
  <c r="CA29" i="22" s="1"/>
  <c r="CB29" i="22" s="1"/>
  <c r="BY30" i="22"/>
  <c r="BZ30" i="22" s="1"/>
  <c r="CA30" i="22" s="1"/>
  <c r="CB30" i="22" s="1"/>
  <c r="BY32" i="22"/>
  <c r="BZ32" i="22" s="1"/>
  <c r="CA32" i="22" s="1"/>
  <c r="CB32" i="22" s="1"/>
  <c r="BY33" i="22"/>
  <c r="BZ33" i="22" s="1"/>
  <c r="CA33" i="22" s="1"/>
  <c r="CB33" i="22" s="1"/>
  <c r="BY34" i="22"/>
  <c r="BZ34" i="22" s="1"/>
  <c r="CA34" i="22" s="1"/>
  <c r="CB34" i="22" s="1"/>
  <c r="BY35" i="22"/>
  <c r="BZ35" i="22" s="1"/>
  <c r="CA35" i="22" s="1"/>
  <c r="CB35" i="22" s="1"/>
  <c r="BY36" i="22"/>
  <c r="BZ36" i="22" s="1"/>
  <c r="CA36" i="22" s="1"/>
  <c r="CB36" i="22" s="1"/>
  <c r="BY37" i="22"/>
  <c r="BZ37" i="22" s="1"/>
  <c r="CA37" i="22" s="1"/>
  <c r="CB37" i="22" s="1"/>
  <c r="BY38" i="22"/>
  <c r="BZ38" i="22" s="1"/>
  <c r="CA38" i="22" s="1"/>
  <c r="CB38" i="22" s="1"/>
  <c r="BY39" i="22"/>
  <c r="BZ39" i="22" s="1"/>
  <c r="CA39" i="22" s="1"/>
  <c r="CB39" i="22" s="1"/>
  <c r="BY40" i="22"/>
  <c r="BZ40" i="22" s="1"/>
  <c r="CA40" i="22" s="1"/>
  <c r="CB40" i="22" s="1"/>
  <c r="BY41" i="22"/>
  <c r="BZ41" i="22" s="1"/>
  <c r="CA41" i="22" s="1"/>
  <c r="CB41" i="22" s="1"/>
  <c r="BY42" i="22"/>
  <c r="BZ42" i="22" s="1"/>
  <c r="CA42" i="22" s="1"/>
  <c r="CB42" i="22" s="1"/>
  <c r="BY43" i="22"/>
  <c r="BZ43" i="22" s="1"/>
  <c r="CA43" i="22" s="1"/>
  <c r="CB43" i="22" s="1"/>
  <c r="BY45" i="22"/>
  <c r="BZ45" i="22" s="1"/>
  <c r="CA45" i="22" s="1"/>
  <c r="CB45" i="22" s="1"/>
  <c r="BY46" i="22"/>
  <c r="BZ46" i="22" s="1"/>
  <c r="CA46" i="22" s="1"/>
  <c r="CB46" i="22" s="1"/>
  <c r="BY47" i="22"/>
  <c r="BZ47" i="22" s="1"/>
  <c r="CA47" i="22" s="1"/>
  <c r="CB47" i="22" s="1"/>
  <c r="BY48" i="22"/>
  <c r="BZ48" i="22" s="1"/>
  <c r="CA48" i="22" s="1"/>
  <c r="CB48" i="22" s="1"/>
  <c r="BY49" i="22"/>
  <c r="BZ49" i="22" s="1"/>
  <c r="CA49" i="22" s="1"/>
  <c r="CB49" i="22" s="1"/>
  <c r="BY51" i="22"/>
  <c r="BZ51" i="22" s="1"/>
  <c r="CA51" i="22" s="1"/>
  <c r="CB51" i="22" s="1"/>
  <c r="BY53" i="22"/>
  <c r="BZ53" i="22" s="1"/>
  <c r="CA53" i="22" s="1"/>
  <c r="CB53" i="22" s="1"/>
  <c r="BY54" i="22"/>
  <c r="BZ54" i="22" s="1"/>
  <c r="CA54" i="22" s="1"/>
  <c r="CB54" i="22" s="1"/>
  <c r="BY59" i="22"/>
  <c r="BZ59" i="22" s="1"/>
  <c r="CA59" i="22" s="1"/>
  <c r="CB59" i="22" s="1"/>
  <c r="BY60" i="22"/>
  <c r="BZ60" i="22" s="1"/>
  <c r="CA60" i="22" s="1"/>
  <c r="CB60" i="22" s="1"/>
  <c r="BY61" i="22"/>
  <c r="BZ61" i="22" s="1"/>
  <c r="CA61" i="22" s="1"/>
  <c r="CB61" i="22" s="1"/>
  <c r="BY62" i="22"/>
  <c r="BZ62" i="22" s="1"/>
  <c r="CA62" i="22" s="1"/>
  <c r="CB62" i="22" s="1"/>
  <c r="BY63" i="22"/>
  <c r="BZ63" i="22" s="1"/>
  <c r="CA63" i="22" s="1"/>
  <c r="CB63" i="22" s="1"/>
  <c r="BY64" i="22"/>
  <c r="BZ64" i="22" s="1"/>
  <c r="CA64" i="22" s="1"/>
  <c r="CB64" i="22" s="1"/>
  <c r="BY65" i="22"/>
  <c r="BZ65" i="22" s="1"/>
  <c r="CA65" i="22" s="1"/>
  <c r="CB65" i="22" s="1"/>
  <c r="BY66" i="22"/>
  <c r="BZ66" i="22" s="1"/>
  <c r="CA66" i="22" s="1"/>
  <c r="CB66" i="22" s="1"/>
  <c r="BY67" i="22"/>
  <c r="BZ67" i="22" s="1"/>
  <c r="CA67" i="22" s="1"/>
  <c r="CB67" i="22" s="1"/>
  <c r="BY68" i="22"/>
  <c r="BZ68" i="22" s="1"/>
  <c r="CA68" i="22" s="1"/>
  <c r="CB68" i="22" s="1"/>
  <c r="BY69" i="22"/>
  <c r="BZ69" i="22" s="1"/>
  <c r="CA69" i="22" s="1"/>
  <c r="CB69" i="22" s="1"/>
  <c r="BY70" i="22"/>
  <c r="BZ70" i="22" s="1"/>
  <c r="CA70" i="22" s="1"/>
  <c r="CB70" i="22" s="1"/>
  <c r="BY71" i="22"/>
  <c r="BZ71" i="22" s="1"/>
  <c r="CA71" i="22" s="1"/>
  <c r="CB71" i="22" s="1"/>
  <c r="BY72" i="22"/>
  <c r="BZ72" i="22" s="1"/>
  <c r="CA72" i="22" s="1"/>
  <c r="CB72" i="22" s="1"/>
  <c r="BY73" i="22"/>
  <c r="BZ73" i="22" s="1"/>
  <c r="CA73" i="22" s="1"/>
  <c r="CB73" i="22" s="1"/>
  <c r="BY74" i="22"/>
  <c r="BZ74" i="22" s="1"/>
  <c r="CA74" i="22" s="1"/>
  <c r="CB74" i="22" s="1"/>
  <c r="BY75" i="22"/>
  <c r="BZ75" i="22" s="1"/>
  <c r="CA75" i="22" s="1"/>
  <c r="CB75" i="22" s="1"/>
  <c r="BY76" i="22"/>
  <c r="BZ76" i="22" s="1"/>
  <c r="CA76" i="22" s="1"/>
  <c r="CB76" i="22" s="1"/>
  <c r="BY77" i="22"/>
  <c r="BZ77" i="22" s="1"/>
  <c r="CA77" i="22" s="1"/>
  <c r="CB77" i="22" s="1"/>
  <c r="BY78" i="22"/>
  <c r="BZ78" i="22" s="1"/>
  <c r="CA78" i="22" s="1"/>
  <c r="CB78" i="22" s="1"/>
  <c r="BY79" i="22"/>
  <c r="BZ79" i="22" s="1"/>
  <c r="CA79" i="22" s="1"/>
  <c r="CB79" i="22" s="1"/>
  <c r="BY80" i="22"/>
  <c r="BZ80" i="22" s="1"/>
  <c r="CA80" i="22" s="1"/>
  <c r="CB80" i="22" s="1"/>
  <c r="BY81" i="22"/>
  <c r="BZ81" i="22" s="1"/>
  <c r="CA81" i="22" s="1"/>
  <c r="CB81" i="22" s="1"/>
  <c r="BY82" i="22"/>
  <c r="BZ82" i="22" s="1"/>
  <c r="CA82" i="22" s="1"/>
  <c r="CB82" i="22" s="1"/>
  <c r="BY83" i="22"/>
  <c r="BZ83" i="22" s="1"/>
  <c r="CA83" i="22" s="1"/>
  <c r="CB83" i="22" s="1"/>
  <c r="BY84" i="22"/>
  <c r="BZ84" i="22" s="1"/>
  <c r="CA84" i="22" s="1"/>
  <c r="CB84" i="22" s="1"/>
  <c r="BY85" i="22"/>
  <c r="BZ85" i="22" s="1"/>
  <c r="CA85" i="22" s="1"/>
  <c r="CB85" i="22" s="1"/>
  <c r="BY86" i="22"/>
  <c r="BZ86" i="22" s="1"/>
  <c r="CA86" i="22" s="1"/>
  <c r="CB86" i="22" s="1"/>
  <c r="BY87" i="22"/>
  <c r="BZ87" i="22" s="1"/>
  <c r="CA87" i="22" s="1"/>
  <c r="CB87" i="22" s="1"/>
  <c r="BY88" i="22"/>
  <c r="BZ88" i="22" s="1"/>
  <c r="CA88" i="22" s="1"/>
  <c r="CB88" i="22" s="1"/>
  <c r="BY89" i="22"/>
  <c r="BZ89" i="22" s="1"/>
  <c r="CA89" i="22" s="1"/>
  <c r="CB89" i="22" s="1"/>
  <c r="BY90" i="22"/>
  <c r="BZ90" i="22" s="1"/>
  <c r="CA90" i="22" s="1"/>
  <c r="CB90" i="22" s="1"/>
  <c r="BY91" i="22"/>
  <c r="BZ91" i="22" s="1"/>
  <c r="CA91" i="22" s="1"/>
  <c r="CB91" i="22" s="1"/>
  <c r="BY92" i="22"/>
  <c r="BZ92" i="22" s="1"/>
  <c r="CA92" i="22" s="1"/>
  <c r="CB92" i="22" s="1"/>
  <c r="BY93" i="22"/>
  <c r="BZ93" i="22" s="1"/>
  <c r="CA93" i="22" s="1"/>
  <c r="CB93" i="22" s="1"/>
  <c r="BY94" i="22"/>
  <c r="BZ94" i="22" s="1"/>
  <c r="CA94" i="22" s="1"/>
  <c r="CB94" i="22" s="1"/>
  <c r="BY95" i="22"/>
  <c r="BZ95" i="22" s="1"/>
  <c r="CA95" i="22" s="1"/>
  <c r="CB95" i="22" s="1"/>
  <c r="BY96" i="22"/>
  <c r="BZ96" i="22" s="1"/>
  <c r="CA96" i="22" s="1"/>
  <c r="CB96" i="22" s="1"/>
  <c r="BY97" i="22"/>
  <c r="BZ97" i="22" s="1"/>
  <c r="CA97" i="22" s="1"/>
  <c r="CB97" i="22" s="1"/>
  <c r="BY98" i="22"/>
  <c r="BZ98" i="22" s="1"/>
  <c r="CA98" i="22" s="1"/>
  <c r="CB98" i="22" s="1"/>
  <c r="BY99" i="22"/>
  <c r="BZ99" i="22" s="1"/>
  <c r="CA99" i="22" s="1"/>
  <c r="CB99" i="22" s="1"/>
  <c r="BY100" i="22"/>
  <c r="BZ100" i="22" s="1"/>
  <c r="CA100" i="22" s="1"/>
  <c r="CB100" i="22" s="1"/>
  <c r="BY101" i="22"/>
  <c r="BZ101" i="22" s="1"/>
  <c r="CA101" i="22" s="1"/>
  <c r="CB101" i="22" s="1"/>
  <c r="BY102" i="22"/>
  <c r="BZ102" i="22" s="1"/>
  <c r="CA102" i="22" s="1"/>
  <c r="CB102" i="22" s="1"/>
  <c r="BY103" i="22"/>
  <c r="BZ103" i="22" s="1"/>
  <c r="CA103" i="22" s="1"/>
  <c r="CB103" i="22" s="1"/>
  <c r="BY104" i="22"/>
  <c r="BZ104" i="22" s="1"/>
  <c r="CA104" i="22" s="1"/>
  <c r="CB104" i="22" s="1"/>
  <c r="BY105" i="22"/>
  <c r="BZ105" i="22" s="1"/>
  <c r="CA105" i="22" s="1"/>
  <c r="CB105" i="22" s="1"/>
  <c r="BY106" i="22"/>
  <c r="BZ106" i="22" s="1"/>
  <c r="CA106" i="22" s="1"/>
  <c r="CB106" i="22" s="1"/>
  <c r="BY107" i="22"/>
  <c r="BZ107" i="22" s="1"/>
  <c r="CA107" i="22" s="1"/>
  <c r="CB107" i="22" s="1"/>
  <c r="BY108" i="22"/>
  <c r="BZ108" i="22" s="1"/>
  <c r="CA108" i="22" s="1"/>
  <c r="CB108" i="22" s="1"/>
  <c r="BY109" i="22"/>
  <c r="BZ109" i="22" s="1"/>
  <c r="CA109" i="22" s="1"/>
  <c r="CB109" i="22" s="1"/>
  <c r="BY111" i="22"/>
  <c r="BZ111" i="22" s="1"/>
  <c r="CA111" i="22" s="1"/>
  <c r="CB111" i="22" s="1"/>
  <c r="BT7" i="22"/>
  <c r="BT8" i="22"/>
  <c r="BU8" i="22" s="1"/>
  <c r="BV8" i="22" s="1"/>
  <c r="BW8" i="22" s="1"/>
  <c r="BT9" i="22"/>
  <c r="BU9" i="22" s="1"/>
  <c r="BV9" i="22" s="1"/>
  <c r="BW9" i="22" s="1"/>
  <c r="BT10" i="22"/>
  <c r="BU10" i="22" s="1"/>
  <c r="BV10" i="22" s="1"/>
  <c r="BW10" i="22" s="1"/>
  <c r="BT11" i="22"/>
  <c r="BU11" i="22" s="1"/>
  <c r="BV11" i="22" s="1"/>
  <c r="BW11" i="22" s="1"/>
  <c r="BT12" i="22"/>
  <c r="BU12" i="22" s="1"/>
  <c r="BV12" i="22" s="1"/>
  <c r="BW12" i="22" s="1"/>
  <c r="BT13" i="22"/>
  <c r="BU13" i="22" s="1"/>
  <c r="BV13" i="22" s="1"/>
  <c r="BW13" i="22" s="1"/>
  <c r="BT14" i="22"/>
  <c r="BU14" i="22" s="1"/>
  <c r="BV14" i="22" s="1"/>
  <c r="BW14" i="22" s="1"/>
  <c r="BT15" i="22"/>
  <c r="BU15" i="22" s="1"/>
  <c r="BV15" i="22" s="1"/>
  <c r="BW15" i="22" s="1"/>
  <c r="BT16" i="22"/>
  <c r="BU16" i="22" s="1"/>
  <c r="BV16" i="22" s="1"/>
  <c r="BW16" i="22" s="1"/>
  <c r="BT17" i="22"/>
  <c r="BU17" i="22" s="1"/>
  <c r="BV17" i="22" s="1"/>
  <c r="BW17" i="22" s="1"/>
  <c r="BT18" i="22"/>
  <c r="BU18" i="22" s="1"/>
  <c r="BV18" i="22" s="1"/>
  <c r="BW18" i="22" s="1"/>
  <c r="BT19" i="22"/>
  <c r="BU19" i="22" s="1"/>
  <c r="BV19" i="22" s="1"/>
  <c r="BW19" i="22" s="1"/>
  <c r="BT20" i="22"/>
  <c r="BU20" i="22" s="1"/>
  <c r="BV20" i="22" s="1"/>
  <c r="BW20" i="22" s="1"/>
  <c r="BT21" i="22"/>
  <c r="BU21" i="22" s="1"/>
  <c r="BV21" i="22" s="1"/>
  <c r="BW21" i="22" s="1"/>
  <c r="BT22" i="22"/>
  <c r="BU22" i="22" s="1"/>
  <c r="BV22" i="22" s="1"/>
  <c r="BW22" i="22" s="1"/>
  <c r="BT23" i="22"/>
  <c r="BU23" i="22" s="1"/>
  <c r="BV23" i="22" s="1"/>
  <c r="BW23" i="22" s="1"/>
  <c r="BT24" i="22"/>
  <c r="BU24" i="22" s="1"/>
  <c r="BV24" i="22" s="1"/>
  <c r="BW24" i="22" s="1"/>
  <c r="BT25" i="22"/>
  <c r="BU25" i="22" s="1"/>
  <c r="BV25" i="22" s="1"/>
  <c r="BW25" i="22" s="1"/>
  <c r="BT26" i="22"/>
  <c r="BU26" i="22" s="1"/>
  <c r="BV26" i="22" s="1"/>
  <c r="BW26" i="22" s="1"/>
  <c r="BT27" i="22"/>
  <c r="BU27" i="22" s="1"/>
  <c r="BV27" i="22" s="1"/>
  <c r="BW27" i="22" s="1"/>
  <c r="BT28" i="22"/>
  <c r="BU28" i="22" s="1"/>
  <c r="BV28" i="22" s="1"/>
  <c r="BW28" i="22" s="1"/>
  <c r="BT29" i="22"/>
  <c r="BU29" i="22" s="1"/>
  <c r="BV29" i="22" s="1"/>
  <c r="BW29" i="22" s="1"/>
  <c r="BT30" i="22"/>
  <c r="BU30" i="22" s="1"/>
  <c r="BV30" i="22" s="1"/>
  <c r="BW30" i="22" s="1"/>
  <c r="BT32" i="22"/>
  <c r="BU32" i="22" s="1"/>
  <c r="BV32" i="22" s="1"/>
  <c r="BW32" i="22" s="1"/>
  <c r="BT33" i="22"/>
  <c r="BU33" i="22" s="1"/>
  <c r="BV33" i="22" s="1"/>
  <c r="BW33" i="22" s="1"/>
  <c r="BT34" i="22"/>
  <c r="BU34" i="22" s="1"/>
  <c r="BV34" i="22" s="1"/>
  <c r="BW34" i="22" s="1"/>
  <c r="BT35" i="22"/>
  <c r="BU35" i="22" s="1"/>
  <c r="BV35" i="22" s="1"/>
  <c r="BW35" i="22" s="1"/>
  <c r="BT36" i="22"/>
  <c r="BU36" i="22" s="1"/>
  <c r="BV36" i="22" s="1"/>
  <c r="BW36" i="22" s="1"/>
  <c r="BT37" i="22"/>
  <c r="BU37" i="22" s="1"/>
  <c r="BV37" i="22" s="1"/>
  <c r="BW37" i="22" s="1"/>
  <c r="BT38" i="22"/>
  <c r="BU38" i="22" s="1"/>
  <c r="BV38" i="22" s="1"/>
  <c r="BW38" i="22" s="1"/>
  <c r="BT39" i="22"/>
  <c r="BU39" i="22" s="1"/>
  <c r="BV39" i="22" s="1"/>
  <c r="BW39" i="22" s="1"/>
  <c r="BT40" i="22"/>
  <c r="BU40" i="22" s="1"/>
  <c r="BV40" i="22" s="1"/>
  <c r="BW40" i="22" s="1"/>
  <c r="BT41" i="22"/>
  <c r="BU41" i="22" s="1"/>
  <c r="BV41" i="22" s="1"/>
  <c r="BW41" i="22" s="1"/>
  <c r="BT42" i="22"/>
  <c r="BU42" i="22" s="1"/>
  <c r="BV42" i="22" s="1"/>
  <c r="BW42" i="22" s="1"/>
  <c r="BT43" i="22"/>
  <c r="BU43" i="22" s="1"/>
  <c r="BV43" i="22" s="1"/>
  <c r="BW43" i="22" s="1"/>
  <c r="BT45" i="22"/>
  <c r="BU45" i="22" s="1"/>
  <c r="BV45" i="22" s="1"/>
  <c r="BW45" i="22" s="1"/>
  <c r="BT46" i="22"/>
  <c r="BU46" i="22" s="1"/>
  <c r="BV46" i="22" s="1"/>
  <c r="BW46" i="22" s="1"/>
  <c r="BT47" i="22"/>
  <c r="BU47" i="22" s="1"/>
  <c r="BV47" i="22" s="1"/>
  <c r="BW47" i="22" s="1"/>
  <c r="BT48" i="22"/>
  <c r="BU48" i="22" s="1"/>
  <c r="BV48" i="22" s="1"/>
  <c r="BW48" i="22" s="1"/>
  <c r="BT49" i="22"/>
  <c r="BU49" i="22" s="1"/>
  <c r="BV49" i="22" s="1"/>
  <c r="BW49" i="22" s="1"/>
  <c r="BT51" i="22"/>
  <c r="BU51" i="22" s="1"/>
  <c r="BV51" i="22" s="1"/>
  <c r="BW51" i="22" s="1"/>
  <c r="BT53" i="22"/>
  <c r="BU53" i="22" s="1"/>
  <c r="BV53" i="22" s="1"/>
  <c r="BW53" i="22" s="1"/>
  <c r="BT54" i="22"/>
  <c r="BU54" i="22" s="1"/>
  <c r="BV54" i="22" s="1"/>
  <c r="BW54" i="22" s="1"/>
  <c r="BT59" i="22"/>
  <c r="BU59" i="22" s="1"/>
  <c r="BV59" i="22" s="1"/>
  <c r="BW59" i="22" s="1"/>
  <c r="BT60" i="22"/>
  <c r="BU60" i="22" s="1"/>
  <c r="BV60" i="22" s="1"/>
  <c r="BW60" i="22" s="1"/>
  <c r="BT61" i="22"/>
  <c r="BU61" i="22" s="1"/>
  <c r="BV61" i="22" s="1"/>
  <c r="BW61" i="22" s="1"/>
  <c r="BT62" i="22"/>
  <c r="BU62" i="22" s="1"/>
  <c r="BV62" i="22" s="1"/>
  <c r="BW62" i="22" s="1"/>
  <c r="BT63" i="22"/>
  <c r="BU63" i="22" s="1"/>
  <c r="BV63" i="22" s="1"/>
  <c r="BW63" i="22" s="1"/>
  <c r="BT64" i="22"/>
  <c r="BU64" i="22" s="1"/>
  <c r="BV64" i="22" s="1"/>
  <c r="BW64" i="22" s="1"/>
  <c r="BT65" i="22"/>
  <c r="BU65" i="22" s="1"/>
  <c r="BV65" i="22" s="1"/>
  <c r="BW65" i="22" s="1"/>
  <c r="BT66" i="22"/>
  <c r="BU66" i="22" s="1"/>
  <c r="BV66" i="22" s="1"/>
  <c r="BW66" i="22" s="1"/>
  <c r="BT67" i="22"/>
  <c r="BU67" i="22" s="1"/>
  <c r="BV67" i="22" s="1"/>
  <c r="BW67" i="22" s="1"/>
  <c r="BT68" i="22"/>
  <c r="BU68" i="22" s="1"/>
  <c r="BV68" i="22" s="1"/>
  <c r="BW68" i="22" s="1"/>
  <c r="BT69" i="22"/>
  <c r="BU69" i="22" s="1"/>
  <c r="BV69" i="22" s="1"/>
  <c r="BW69" i="22" s="1"/>
  <c r="BT70" i="22"/>
  <c r="BU70" i="22" s="1"/>
  <c r="BV70" i="22" s="1"/>
  <c r="BW70" i="22" s="1"/>
  <c r="BT71" i="22"/>
  <c r="BU71" i="22" s="1"/>
  <c r="BV71" i="22" s="1"/>
  <c r="BW71" i="22" s="1"/>
  <c r="BT72" i="22"/>
  <c r="BU72" i="22" s="1"/>
  <c r="BV72" i="22" s="1"/>
  <c r="BW72" i="22" s="1"/>
  <c r="BT73" i="22"/>
  <c r="BU73" i="22" s="1"/>
  <c r="BV73" i="22" s="1"/>
  <c r="BW73" i="22" s="1"/>
  <c r="BT74" i="22"/>
  <c r="BU74" i="22" s="1"/>
  <c r="BV74" i="22" s="1"/>
  <c r="BW74" i="22" s="1"/>
  <c r="BT75" i="22"/>
  <c r="BU75" i="22" s="1"/>
  <c r="BV75" i="22" s="1"/>
  <c r="BW75" i="22" s="1"/>
  <c r="BT76" i="22"/>
  <c r="BU76" i="22" s="1"/>
  <c r="BV76" i="22" s="1"/>
  <c r="BW76" i="22" s="1"/>
  <c r="BT77" i="22"/>
  <c r="BU77" i="22" s="1"/>
  <c r="BV77" i="22" s="1"/>
  <c r="BW77" i="22" s="1"/>
  <c r="BT78" i="22"/>
  <c r="BU78" i="22" s="1"/>
  <c r="BV78" i="22" s="1"/>
  <c r="BW78" i="22" s="1"/>
  <c r="BT79" i="22"/>
  <c r="BU79" i="22" s="1"/>
  <c r="BV79" i="22" s="1"/>
  <c r="BW79" i="22" s="1"/>
  <c r="BT80" i="22"/>
  <c r="BU80" i="22" s="1"/>
  <c r="BV80" i="22" s="1"/>
  <c r="BW80" i="22" s="1"/>
  <c r="BT81" i="22"/>
  <c r="BU81" i="22" s="1"/>
  <c r="BV81" i="22" s="1"/>
  <c r="BW81" i="22" s="1"/>
  <c r="BT82" i="22"/>
  <c r="BU82" i="22" s="1"/>
  <c r="BV82" i="22" s="1"/>
  <c r="BW82" i="22" s="1"/>
  <c r="BT83" i="22"/>
  <c r="BU83" i="22" s="1"/>
  <c r="BV83" i="22" s="1"/>
  <c r="BW83" i="22" s="1"/>
  <c r="BT84" i="22"/>
  <c r="BU84" i="22" s="1"/>
  <c r="BV84" i="22" s="1"/>
  <c r="BW84" i="22" s="1"/>
  <c r="BT85" i="22"/>
  <c r="BU85" i="22" s="1"/>
  <c r="BV85" i="22" s="1"/>
  <c r="BW85" i="22" s="1"/>
  <c r="BT86" i="22"/>
  <c r="BU86" i="22" s="1"/>
  <c r="BV86" i="22" s="1"/>
  <c r="BW86" i="22" s="1"/>
  <c r="BT87" i="22"/>
  <c r="BU87" i="22" s="1"/>
  <c r="BV87" i="22" s="1"/>
  <c r="BW87" i="22" s="1"/>
  <c r="BT88" i="22"/>
  <c r="BU88" i="22" s="1"/>
  <c r="BV88" i="22" s="1"/>
  <c r="BW88" i="22" s="1"/>
  <c r="BT89" i="22"/>
  <c r="BU89" i="22" s="1"/>
  <c r="BV89" i="22" s="1"/>
  <c r="BW89" i="22" s="1"/>
  <c r="BT90" i="22"/>
  <c r="BU90" i="22" s="1"/>
  <c r="BV90" i="22" s="1"/>
  <c r="BW90" i="22" s="1"/>
  <c r="BT91" i="22"/>
  <c r="BU91" i="22" s="1"/>
  <c r="BV91" i="22" s="1"/>
  <c r="BW91" i="22" s="1"/>
  <c r="BT92" i="22"/>
  <c r="BU92" i="22" s="1"/>
  <c r="BV92" i="22" s="1"/>
  <c r="BW92" i="22" s="1"/>
  <c r="BT93" i="22"/>
  <c r="BU93" i="22" s="1"/>
  <c r="BV93" i="22" s="1"/>
  <c r="BW93" i="22" s="1"/>
  <c r="BT94" i="22"/>
  <c r="BU94" i="22" s="1"/>
  <c r="BV94" i="22" s="1"/>
  <c r="BW94" i="22" s="1"/>
  <c r="BT95" i="22"/>
  <c r="BU95" i="22" s="1"/>
  <c r="BV95" i="22" s="1"/>
  <c r="BW95" i="22" s="1"/>
  <c r="BT96" i="22"/>
  <c r="BU96" i="22" s="1"/>
  <c r="BV96" i="22" s="1"/>
  <c r="BW96" i="22" s="1"/>
  <c r="BT97" i="22"/>
  <c r="BU97" i="22" s="1"/>
  <c r="BV97" i="22" s="1"/>
  <c r="BW97" i="22" s="1"/>
  <c r="BT98" i="22"/>
  <c r="BU98" i="22" s="1"/>
  <c r="BV98" i="22" s="1"/>
  <c r="BW98" i="22" s="1"/>
  <c r="BT99" i="22"/>
  <c r="BU99" i="22" s="1"/>
  <c r="BV99" i="22" s="1"/>
  <c r="BW99" i="22" s="1"/>
  <c r="BT100" i="22"/>
  <c r="BU100" i="22" s="1"/>
  <c r="BV100" i="22" s="1"/>
  <c r="BW100" i="22" s="1"/>
  <c r="BT101" i="22"/>
  <c r="BU101" i="22" s="1"/>
  <c r="BV101" i="22" s="1"/>
  <c r="BW101" i="22" s="1"/>
  <c r="BT102" i="22"/>
  <c r="BU102" i="22" s="1"/>
  <c r="BV102" i="22" s="1"/>
  <c r="BW102" i="22" s="1"/>
  <c r="BT103" i="22"/>
  <c r="BU103" i="22" s="1"/>
  <c r="BV103" i="22" s="1"/>
  <c r="BW103" i="22" s="1"/>
  <c r="BT104" i="22"/>
  <c r="BU104" i="22" s="1"/>
  <c r="BV104" i="22" s="1"/>
  <c r="BW104" i="22" s="1"/>
  <c r="BT105" i="22"/>
  <c r="BU105" i="22" s="1"/>
  <c r="BV105" i="22" s="1"/>
  <c r="BW105" i="22" s="1"/>
  <c r="BT106" i="22"/>
  <c r="BU106" i="22" s="1"/>
  <c r="BV106" i="22" s="1"/>
  <c r="BW106" i="22" s="1"/>
  <c r="BT107" i="22"/>
  <c r="BU107" i="22" s="1"/>
  <c r="BV107" i="22" s="1"/>
  <c r="BW107" i="22" s="1"/>
  <c r="BT108" i="22"/>
  <c r="BU108" i="22" s="1"/>
  <c r="BV108" i="22" s="1"/>
  <c r="BW108" i="22" s="1"/>
  <c r="BT109" i="22"/>
  <c r="BU109" i="22" s="1"/>
  <c r="BV109" i="22" s="1"/>
  <c r="BW109" i="22" s="1"/>
  <c r="BT111" i="22"/>
  <c r="BU111" i="22" s="1"/>
  <c r="BV111" i="22" s="1"/>
  <c r="BW111" i="22" s="1"/>
  <c r="BM11" i="22"/>
  <c r="BM12" i="22" l="1"/>
  <c r="BM13" i="22" s="1"/>
  <c r="N6" i="22" s="1"/>
  <c r="BU7" i="22"/>
  <c r="BV7" i="22" s="1"/>
  <c r="BW7" i="22" s="1"/>
  <c r="BM14" i="22" l="1"/>
  <c r="BJ10" i="22"/>
  <c r="BM15" i="22" l="1"/>
  <c r="BM16" i="22" s="1"/>
  <c r="BM17" i="22" s="1"/>
  <c r="BM18" i="22" s="1"/>
  <c r="BO10" i="22"/>
  <c r="BG21" i="22"/>
  <c r="BJ11" i="22"/>
  <c r="BG24" i="22" s="1"/>
  <c r="BJ9" i="22"/>
  <c r="BG22" i="22" s="1"/>
  <c r="BI22" i="22"/>
  <c r="BJ32" i="22" s="1"/>
  <c r="BJ30" i="22"/>
  <c r="BR9" i="22" l="1"/>
  <c r="BR10" i="22" s="1" a="1"/>
  <c r="BR10" i="22" s="1"/>
  <c r="BJ22" i="22"/>
  <c r="BJ21" i="22"/>
  <c r="BG23" i="22" s="1"/>
  <c r="K19" i="22" l="1"/>
  <c r="K27" i="22" s="1"/>
  <c r="K20" i="22"/>
  <c r="BM19" i="22"/>
  <c r="BM42" i="22" s="1"/>
  <c r="BO11" i="22"/>
  <c r="BO12" i="22" s="1"/>
  <c r="K17" i="22"/>
  <c r="BG25" i="22"/>
  <c r="E35" i="22"/>
  <c r="E36" i="22"/>
  <c r="I36" i="22" s="1"/>
  <c r="E37" i="22"/>
  <c r="I37" i="22" s="1"/>
  <c r="E38" i="22"/>
  <c r="BJ43" i="22" l="1"/>
  <c r="BJ45" i="22" s="1"/>
  <c r="BG16" i="22"/>
  <c r="BJ53" i="22"/>
  <c r="BJ54" i="22"/>
  <c r="BJ59" i="22"/>
  <c r="BJ60" i="22"/>
  <c r="BJ51" i="22"/>
  <c r="BJ66" i="22"/>
  <c r="BJ76" i="22"/>
  <c r="K22" i="22"/>
  <c r="K18" i="22"/>
  <c r="BG18" i="22" s="1"/>
  <c r="BG19" i="22" s="1"/>
  <c r="BG14" i="22"/>
  <c r="BG15" i="22"/>
  <c r="BH15" i="22" s="1"/>
  <c r="BG13" i="22"/>
  <c r="BH13" i="22" s="1"/>
  <c r="BG12" i="22"/>
  <c r="BH12" i="22" s="1"/>
  <c r="BM21" i="22"/>
  <c r="BM22" i="22" s="1"/>
  <c r="BM23" i="22" s="1"/>
  <c r="BM37" i="22"/>
  <c r="BM38" i="22" s="1"/>
  <c r="BM20" i="22"/>
  <c r="K43" i="22" s="1"/>
  <c r="BM26" i="22"/>
  <c r="BM27" i="22" s="1"/>
  <c r="BM28" i="22" s="1"/>
  <c r="BM32" i="22"/>
  <c r="BM33" i="22" s="1"/>
  <c r="BM34" i="22" s="1"/>
  <c r="I40" i="22"/>
  <c r="BO13" i="22"/>
  <c r="BO14" i="22" s="1"/>
  <c r="BM43" i="22"/>
  <c r="BJ42" i="22" l="1"/>
  <c r="BJ47" i="22" s="1"/>
  <c r="BJ63" i="22" s="1"/>
  <c r="BJ73" i="22" s="1"/>
  <c r="BJ67" i="22"/>
  <c r="BJ77" i="22" s="1"/>
  <c r="BJ70" i="22"/>
  <c r="BJ68" i="22"/>
  <c r="BJ69" i="22"/>
  <c r="BJ48" i="22"/>
  <c r="BJ64" i="22" s="1"/>
  <c r="BJ74" i="22" s="1"/>
  <c r="BJ78" i="22"/>
  <c r="BJ80" i="22" s="1"/>
  <c r="E70" i="22" s="1"/>
  <c r="BG10" i="22"/>
  <c r="BH10" i="22" s="1"/>
  <c r="BM24" i="22"/>
  <c r="I43" i="22"/>
  <c r="BM35" i="22"/>
  <c r="BJ14" i="22" s="1"/>
  <c r="K24" i="22" s="1"/>
  <c r="BM39" i="22"/>
  <c r="BM40" i="22" s="1"/>
  <c r="BM29" i="22"/>
  <c r="BJ15" i="22" s="1"/>
  <c r="BM45" i="22"/>
  <c r="BM46" i="22" s="1"/>
  <c r="BJ61" i="22" l="1"/>
  <c r="BJ71" i="22" s="1"/>
  <c r="BJ62" i="22"/>
  <c r="BJ72" i="22" s="1"/>
  <c r="BJ13" i="22"/>
  <c r="BJ17" i="22" s="1"/>
  <c r="BJ79" i="22"/>
  <c r="BJ81" i="22" s="1"/>
  <c r="E71" i="22" s="1"/>
  <c r="K23" i="22"/>
  <c r="BJ18" i="22" l="1"/>
  <c r="G32" i="22"/>
  <c r="H67" i="22" s="1"/>
  <c r="BJ16" i="22"/>
  <c r="H68" i="22" l="1"/>
  <c r="I32" i="22"/>
  <c r="K32" i="22"/>
  <c r="I39" i="22" s="1"/>
  <c r="BJ19" i="22"/>
  <c r="G39" i="22"/>
  <c r="G38" i="22"/>
  <c r="G37" i="22"/>
  <c r="K37" i="22" s="1"/>
  <c r="G36" i="22"/>
  <c r="K36" i="22" s="1"/>
  <c r="G35" i="22"/>
  <c r="H72" i="22" l="1"/>
  <c r="H69" i="22"/>
  <c r="H70" i="22"/>
  <c r="H71" i="22"/>
  <c r="C69" i="22"/>
  <c r="C68" i="22"/>
  <c r="K38" i="22"/>
  <c r="C70" i="22" s="1"/>
  <c r="L70" i="22" s="1"/>
  <c r="K39" i="22"/>
  <c r="K34" i="22"/>
  <c r="C66" i="22" s="1"/>
  <c r="L66" i="22" s="1"/>
  <c r="I34" i="22"/>
  <c r="I38" i="22"/>
  <c r="I35" i="22"/>
  <c r="K35" i="22"/>
  <c r="K40" i="22"/>
  <c r="C71" i="22" l="1"/>
  <c r="L71" i="22" s="1"/>
  <c r="M49" i="22"/>
  <c r="O49" i="22" s="1"/>
  <c r="C67" i="22"/>
  <c r="L67" i="22" s="1"/>
  <c r="L68" i="22"/>
  <c r="L69" i="22"/>
  <c r="I49" i="22"/>
  <c r="N39" i="22"/>
  <c r="E83" i="22" l="1"/>
  <c r="F83" i="22" s="1"/>
  <c r="E80" i="22"/>
  <c r="F80" i="22" s="1"/>
  <c r="J80" i="22" s="1"/>
  <c r="E77" i="22"/>
  <c r="G77" i="22" s="1"/>
  <c r="H77" i="22" s="1"/>
  <c r="L77" i="22" s="1"/>
  <c r="J83" i="22" l="1"/>
  <c r="H83" i="22"/>
  <c r="L83" i="22" s="1"/>
  <c r="H80" i="22"/>
  <c r="L80" i="22" s="1"/>
  <c r="E76" i="22"/>
  <c r="F76" i="22" s="1"/>
  <c r="J76" i="22" s="1"/>
  <c r="J77" i="22"/>
  <c r="BH16" i="22"/>
  <c r="BH14" i="22"/>
  <c r="H76" i="22" l="1"/>
  <c r="L76" i="22" s="1"/>
  <c r="BJ24" i="22"/>
  <c r="K26" i="22" s="1"/>
  <c r="BJ25" i="22"/>
  <c r="K25" i="22" s="1"/>
  <c r="K42" i="22" l="1"/>
  <c r="G41" i="22"/>
  <c r="M48" i="22" l="1"/>
  <c r="O48" i="22" s="1"/>
  <c r="I48" i="22"/>
  <c r="K48" i="22" s="1"/>
  <c r="I42" i="22"/>
  <c r="E48" i="22" s="1"/>
  <c r="G48" i="22" s="1"/>
  <c r="E41" i="22"/>
  <c r="I41" i="22" s="1"/>
  <c r="K41" i="22"/>
  <c r="C72" i="22" s="1"/>
  <c r="L72" i="22" s="1"/>
  <c r="E49" i="22"/>
  <c r="G49" i="22" s="1"/>
  <c r="K49" i="22"/>
  <c r="E81" i="22" l="1"/>
  <c r="F81" i="22" s="1"/>
  <c r="E82" i="22"/>
  <c r="F82" i="22" s="1"/>
  <c r="I46" i="22"/>
  <c r="M47" i="22"/>
  <c r="O47" i="22" s="1"/>
  <c r="M46" i="22"/>
  <c r="O46" i="22" s="1"/>
  <c r="E78" i="22"/>
  <c r="E79" i="22"/>
  <c r="I47" i="22"/>
  <c r="K47" i="22" s="1"/>
  <c r="E46" i="22"/>
  <c r="O21" i="22" s="1"/>
  <c r="J82" i="22" l="1"/>
  <c r="H82" i="22"/>
  <c r="L82" i="22" s="1"/>
  <c r="H81" i="22"/>
  <c r="L81" i="22" s="1"/>
  <c r="J81" i="22"/>
  <c r="E75" i="22"/>
  <c r="F75" i="22" s="1"/>
  <c r="F79" i="22"/>
  <c r="E74" i="22"/>
  <c r="F78" i="22"/>
  <c r="O56" i="22"/>
  <c r="G46" i="22"/>
  <c r="O20" i="22" s="1"/>
  <c r="K46" i="22"/>
  <c r="O22" i="22" s="1"/>
  <c r="O23" i="22"/>
  <c r="E47" i="22"/>
  <c r="G47" i="22" s="1"/>
  <c r="J78" i="22" l="1"/>
  <c r="H78" i="22"/>
  <c r="L78" i="22" s="1"/>
  <c r="O53" i="22"/>
  <c r="F74" i="22"/>
  <c r="J79" i="22"/>
  <c r="H79" i="22"/>
  <c r="L79" i="22" s="1"/>
  <c r="H75" i="22"/>
  <c r="L75" i="22" s="1"/>
  <c r="J75" i="22"/>
  <c r="O57" i="22"/>
  <c r="H74" i="22" l="1"/>
  <c r="L74" i="22" s="1"/>
  <c r="J74" i="22"/>
  <c r="O58" i="22"/>
  <c r="O54" i="22"/>
  <c r="O55" i="22" l="1"/>
</calcChain>
</file>

<file path=xl/sharedStrings.xml><?xml version="1.0" encoding="utf-8"?>
<sst xmlns="http://schemas.openxmlformats.org/spreadsheetml/2006/main" count="963" uniqueCount="539">
  <si>
    <t>Specifications</t>
  </si>
  <si>
    <t>INL</t>
  </si>
  <si>
    <t>INL Drift</t>
  </si>
  <si>
    <t>Worksheets</t>
  </si>
  <si>
    <t>Description</t>
  </si>
  <si>
    <t>Information about this tool</t>
  </si>
  <si>
    <t>Help</t>
  </si>
  <si>
    <t>Documentation and supporting links</t>
  </si>
  <si>
    <t>Table of Contents</t>
  </si>
  <si>
    <t>#</t>
  </si>
  <si>
    <t>Link:</t>
  </si>
  <si>
    <t>AMC1302:</t>
  </si>
  <si>
    <t>Document Description</t>
  </si>
  <si>
    <t>AMC1300</t>
  </si>
  <si>
    <t>AMC1301</t>
  </si>
  <si>
    <t>AMC1302</t>
  </si>
  <si>
    <t>AMC1301-Q1</t>
  </si>
  <si>
    <t>Part</t>
  </si>
  <si>
    <t>User Inputs</t>
  </si>
  <si>
    <t>Input Resistor (R4)</t>
  </si>
  <si>
    <t>Error Results</t>
  </si>
  <si>
    <t>Gain Error Max</t>
  </si>
  <si>
    <t>Gain Error Typ</t>
  </si>
  <si>
    <t>Typical Spec</t>
  </si>
  <si>
    <t>Maximum Spec</t>
  </si>
  <si>
    <t>Gain Drift Typ</t>
  </si>
  <si>
    <t>Gain Drift Max</t>
  </si>
  <si>
    <t>Offset Error Typ</t>
  </si>
  <si>
    <t>Offset Drift Max</t>
  </si>
  <si>
    <t>INL Typ</t>
  </si>
  <si>
    <t>Offset Error Max</t>
  </si>
  <si>
    <t>Offset Drift Typ</t>
  </si>
  <si>
    <t>INL Max</t>
  </si>
  <si>
    <t>INL Drift Typ</t>
  </si>
  <si>
    <t>INL Drift Max</t>
  </si>
  <si>
    <t>Single-Ended Input Resistance</t>
  </si>
  <si>
    <t>Bias Current</t>
  </si>
  <si>
    <t>±Input Voltage Range</t>
  </si>
  <si>
    <t>Power Dissipation Across Voltage Divider</t>
  </si>
  <si>
    <r>
      <rPr>
        <b/>
        <sz val="11"/>
        <color theme="1"/>
        <rFont val="Calibri"/>
        <family val="2"/>
      </rPr>
      <t>±</t>
    </r>
    <r>
      <rPr>
        <b/>
        <sz val="11"/>
        <color theme="1"/>
        <rFont val="Calibri"/>
        <family val="2"/>
        <scheme val="minor"/>
      </rPr>
      <t xml:space="preserve">Input Voltage Range by Datasheet Specification = </t>
    </r>
  </si>
  <si>
    <t>R2 Resistance</t>
  </si>
  <si>
    <t>R1 Resistance</t>
  </si>
  <si>
    <t>Legend</t>
  </si>
  <si>
    <t>Input =</t>
  </si>
  <si>
    <t>AMC1311</t>
  </si>
  <si>
    <t>AMC1311-Q1</t>
  </si>
  <si>
    <t>AMC3301</t>
  </si>
  <si>
    <t>Device Comparison</t>
  </si>
  <si>
    <t>AMC1301-Q1:</t>
  </si>
  <si>
    <t>AMC3301:</t>
  </si>
  <si>
    <t>Input Type</t>
  </si>
  <si>
    <t>Differential</t>
  </si>
  <si>
    <t>Single-Ended</t>
  </si>
  <si>
    <t>Select Configuration</t>
  </si>
  <si>
    <t>Select Device</t>
  </si>
  <si>
    <t>Configuration</t>
  </si>
  <si>
    <t>Differential without R3'</t>
  </si>
  <si>
    <t>Differential with R3'</t>
  </si>
  <si>
    <t>Image</t>
  </si>
  <si>
    <t>[Select Configuration]</t>
  </si>
  <si>
    <t>[Select Device]</t>
  </si>
  <si>
    <t>AMC1300-Q1</t>
  </si>
  <si>
    <t>Row Num</t>
  </si>
  <si>
    <t>Row Sel D</t>
  </si>
  <si>
    <t>Row Sel SE</t>
  </si>
  <si>
    <t>Sel D</t>
  </si>
  <si>
    <t>Sel SE</t>
  </si>
  <si>
    <t>Device_List_D</t>
  </si>
  <si>
    <t>Device_List_SE</t>
  </si>
  <si>
    <t>Device_List_N</t>
  </si>
  <si>
    <t>Sel N</t>
  </si>
  <si>
    <t>Row Sel N</t>
  </si>
  <si>
    <t>AMC1301S</t>
  </si>
  <si>
    <t>AMC1300B</t>
  </si>
  <si>
    <t>AMC1311B</t>
  </si>
  <si>
    <t>AMC1311B-Q1</t>
  </si>
  <si>
    <t>ISO224B</t>
  </si>
  <si>
    <t>ISO224A</t>
  </si>
  <si>
    <t>AMC1300/B:</t>
  </si>
  <si>
    <t>AMC1301/S:</t>
  </si>
  <si>
    <t>AMC1311/B:</t>
  </si>
  <si>
    <t>AMC1311/B-Q1:</t>
  </si>
  <si>
    <t>ISO224A/B:</t>
  </si>
  <si>
    <r>
      <t xml:space="preserve">Please select a configuration in the </t>
    </r>
    <r>
      <rPr>
        <b/>
        <sz val="36"/>
        <color theme="1"/>
        <rFont val="Calibri"/>
        <family val="2"/>
        <scheme val="minor"/>
      </rPr>
      <t>User Inputs</t>
    </r>
    <r>
      <rPr>
        <sz val="36"/>
        <color theme="1"/>
        <rFont val="Calibri"/>
        <family val="2"/>
        <scheme val="minor"/>
      </rPr>
      <t xml:space="preserve"> before proceeding.</t>
    </r>
  </si>
  <si>
    <t>Temp Min</t>
  </si>
  <si>
    <t>Temp Max</t>
  </si>
  <si>
    <t>kideal</t>
  </si>
  <si>
    <t>Peak High Voltage</t>
  </si>
  <si>
    <t>Rule Check &gt;0</t>
  </si>
  <si>
    <t>Rin_min</t>
  </si>
  <si>
    <t>Rin_max</t>
  </si>
  <si>
    <t>Rin_nom</t>
  </si>
  <si>
    <t>kreal_max</t>
  </si>
  <si>
    <t>kreal_min</t>
  </si>
  <si>
    <t>Vin_FS_nominal</t>
  </si>
  <si>
    <t>GE_nom</t>
  </si>
  <si>
    <t>Vin_FS_min</t>
  </si>
  <si>
    <t>Vin_FS_max</t>
  </si>
  <si>
    <t>GE_maxRin</t>
  </si>
  <si>
    <t>GE_minRin</t>
  </si>
  <si>
    <t xml:space="preserve">Gain Error Rin Variation </t>
  </si>
  <si>
    <t>Gain Error Rin Variation Drift</t>
  </si>
  <si>
    <t>kral_min+drift</t>
  </si>
  <si>
    <t>Vin_FS_n_Drift</t>
  </si>
  <si>
    <t>Minimum Differential Voltage over Temperature</t>
  </si>
  <si>
    <t>kreal_max+drift</t>
  </si>
  <si>
    <t>Vin_FS_m_Drift</t>
  </si>
  <si>
    <t>Maximum Differential Voltage over Temperature</t>
  </si>
  <si>
    <t>Differential Input Resistance</t>
  </si>
  <si>
    <t>AMC1302-Q1</t>
  </si>
  <si>
    <t>Gain</t>
  </si>
  <si>
    <t xml:space="preserve">All error terms are output referred. </t>
  </si>
  <si>
    <t>Comments</t>
  </si>
  <si>
    <t>Rdiv Current</t>
  </si>
  <si>
    <t>AMC Input Current</t>
  </si>
  <si>
    <t>Applied Full-Scale Voltage, R3</t>
  </si>
  <si>
    <t>N/A</t>
  </si>
  <si>
    <t>Offset error &amp; Offset drift multiplied by non-ideal gain</t>
  </si>
  <si>
    <t>Scaled</t>
  </si>
  <si>
    <t>R</t>
  </si>
  <si>
    <t>parallel combo</t>
  </si>
  <si>
    <t>voltage</t>
  </si>
  <si>
    <t>Rdiv SE current</t>
  </si>
  <si>
    <t>New FS input</t>
  </si>
  <si>
    <t>Ideal R3 Resistance</t>
  </si>
  <si>
    <t>Ideal R3' Resistance</t>
  </si>
  <si>
    <t>With R3'</t>
  </si>
  <si>
    <t>Kideal</t>
  </si>
  <si>
    <t>Output V</t>
  </si>
  <si>
    <t>R2</t>
  </si>
  <si>
    <t>R3</t>
  </si>
  <si>
    <t>R4</t>
  </si>
  <si>
    <t>R5</t>
  </si>
  <si>
    <t>R6</t>
  </si>
  <si>
    <t>R7</t>
  </si>
  <si>
    <t>R8</t>
  </si>
  <si>
    <t>R9</t>
  </si>
  <si>
    <t>R10</t>
  </si>
  <si>
    <t>CTRL+SHIFT+ENTER</t>
  </si>
  <si>
    <t>Find Resistor</t>
  </si>
  <si>
    <t>0</t>
  </si>
  <si>
    <t>Min</t>
  </si>
  <si>
    <t>Max</t>
  </si>
  <si>
    <t>max + drift</t>
  </si>
  <si>
    <t>min + drift</t>
  </si>
  <si>
    <t>SE_min</t>
  </si>
  <si>
    <t>SE_nom</t>
  </si>
  <si>
    <t>SE_Max</t>
  </si>
  <si>
    <t>Min+drift</t>
  </si>
  <si>
    <t>Max + drift</t>
  </si>
  <si>
    <t>kreal_nom</t>
  </si>
  <si>
    <t>2. Reference the product datasheet, found at the URLs below, for information about the particular device.</t>
  </si>
  <si>
    <t>3. Go to the Table of Contents for tool descriptions and links to specific worksheets.</t>
  </si>
  <si>
    <t>4.Use the "Legend" on each worksheet for guidance. The required inputs and calculated results typically follow the convention below:</t>
  </si>
  <si>
    <t xml:space="preserve">Getting Started with this tool? </t>
  </si>
  <si>
    <t>1. Please see this document that helps explain voltage sensing with low input impedance devices and the importance of R3':</t>
  </si>
  <si>
    <t>RinDiff Drift over Temp</t>
  </si>
  <si>
    <t>RinDiff Tolerance</t>
  </si>
  <si>
    <t>RinSE Tolerance &amp; Drift</t>
  </si>
  <si>
    <t>Rfilt scaling (Vdrop,Rfilt)</t>
  </si>
  <si>
    <t>Attenuation Ratio</t>
  </si>
  <si>
    <t>Max Error</t>
  </si>
  <si>
    <t>Currents</t>
  </si>
  <si>
    <t>Input Voltage Calculations</t>
  </si>
  <si>
    <t>SE &amp; Wout R3'</t>
  </si>
  <si>
    <t>Value</t>
  </si>
  <si>
    <t>Result</t>
  </si>
  <si>
    <t>1. User enters:</t>
  </si>
  <si>
    <t>1. R3 value only gain</t>
  </si>
  <si>
    <t>1. Corresponding offset</t>
  </si>
  <si>
    <t>2. New desired Vin</t>
  </si>
  <si>
    <t>2. New R3 only gain</t>
  </si>
  <si>
    <t>2.New offset</t>
  </si>
  <si>
    <t>3. New desired Vin</t>
  </si>
  <si>
    <t>3. New R3 only gain</t>
  </si>
  <si>
    <t>4. Standard Resistor</t>
  </si>
  <si>
    <t>4. R3 Offset voltage</t>
  </si>
  <si>
    <t>No R3' 5 step estimation</t>
  </si>
  <si>
    <t>4. R3 || RinDiff</t>
  </si>
  <si>
    <t>4. Rdiv SE current</t>
  </si>
  <si>
    <t>4. Voltage only gain</t>
  </si>
  <si>
    <t>5. Vin; Vog+R3Offset</t>
  </si>
  <si>
    <t>Closest value</t>
  </si>
  <si>
    <t>R3 Calculation</t>
  </si>
  <si>
    <t>Gain Error</t>
  </si>
  <si>
    <t>Gain Drift</t>
  </si>
  <si>
    <t>Offset Error</t>
  </si>
  <si>
    <t>Offset Drift</t>
  </si>
  <si>
    <t>Mixed Error</t>
  </si>
  <si>
    <t>Input Bias Current Error</t>
  </si>
  <si>
    <t>Vin check</t>
  </si>
  <si>
    <t xml:space="preserve">Warning = </t>
  </si>
  <si>
    <t>Error =</t>
  </si>
  <si>
    <t>R3 Standard 1% Resistor</t>
  </si>
  <si>
    <t>R3' Standard 1% Resistor</t>
  </si>
  <si>
    <t>RC Filter Resistance, RF</t>
  </si>
  <si>
    <t>RC Filter Resistance, CF</t>
  </si>
  <si>
    <t>RC Filter Cutoff Frequency</t>
  </si>
  <si>
    <t>krealideal</t>
  </si>
  <si>
    <t>Maximum +FS Differential Input Voltage</t>
  </si>
  <si>
    <t>Minimum +FS Differential Input Voltage</t>
  </si>
  <si>
    <t>AMC1211-Q1</t>
  </si>
  <si>
    <t>AMC3301-Q1</t>
  </si>
  <si>
    <t>AMC3330-Q1</t>
  </si>
  <si>
    <t>AMC3302</t>
  </si>
  <si>
    <t>AMC1300B-Q1</t>
  </si>
  <si>
    <t>Voltage Sensing Calculator</t>
  </si>
  <si>
    <r>
      <rPr>
        <u/>
        <sz val="10"/>
        <rFont val="Arial"/>
        <family val="2"/>
      </rPr>
      <t xml:space="preserve">For any futher assistance on this tool, please post your question in the following forum - </t>
    </r>
    <r>
      <rPr>
        <b/>
        <u/>
        <sz val="10"/>
        <color theme="10"/>
        <rFont val="Arial"/>
        <family val="2"/>
      </rPr>
      <t>E2E Precision Data Converters Forum</t>
    </r>
  </si>
  <si>
    <t>License</t>
  </si>
  <si>
    <t>Calculates a series of error values using an isolation amplifier for a voltage sense circuit in various configurations</t>
  </si>
  <si>
    <t>Compares the datasheet specifications of isolation amplifiers that can be used for voltage sensing</t>
  </si>
  <si>
    <t>This document provides estimates of the errors associated with using isolation amplifier devices in a voltage sensing configuration.</t>
  </si>
  <si>
    <t>Note: if no maximum specification is given in the datasheet, the maximum value is estimated at 3x the typical value. If no typical is given, the typical value is estimated at 1/3x the maximum.</t>
  </si>
  <si>
    <t>AMC3330</t>
  </si>
  <si>
    <t>AMC3302-Q1</t>
  </si>
  <si>
    <t>AMC1202</t>
  </si>
  <si>
    <t>AMC1411</t>
  </si>
  <si>
    <t>AMC1400</t>
  </si>
  <si>
    <t>AMC1350</t>
  </si>
  <si>
    <t>AMC1351</t>
  </si>
  <si>
    <t>Device</t>
  </si>
  <si>
    <t>Sensing Application</t>
  </si>
  <si>
    <t>± Input voltage range</t>
  </si>
  <si>
    <t>Isolation Rating</t>
  </si>
  <si>
    <t>Integrated DC/DC</t>
  </si>
  <si>
    <t>14mm Package</t>
  </si>
  <si>
    <t>Datasheet:</t>
  </si>
  <si>
    <t>AMC3302:</t>
  </si>
  <si>
    <t>Current</t>
  </si>
  <si>
    <t>± 50mV</t>
  </si>
  <si>
    <t>Reinforced</t>
  </si>
  <si>
    <t>YES</t>
  </si>
  <si>
    <t>http://www.ti.com/lit/gpn/AMC3302</t>
  </si>
  <si>
    <t>AMC3302-Q1:</t>
  </si>
  <si>
    <t>http://www.ti.com/lit/gpn/AMC3302-Q1</t>
  </si>
  <si>
    <t>http://www.ti.com/lit/gpn/AMC1302</t>
  </si>
  <si>
    <t>AMC1302-Q1:</t>
  </si>
  <si>
    <t>http://www.ti.com/lit/gpn/AMC1302-Q1</t>
  </si>
  <si>
    <t>Basic</t>
  </si>
  <si>
    <t>http://www.ti.com/lit/gpn/AMC1202</t>
  </si>
  <si>
    <t>± 250mV</t>
  </si>
  <si>
    <t>http://www.ti.com/lit/gpn/AMC3301</t>
  </si>
  <si>
    <t>AMC3301-Q1:</t>
  </si>
  <si>
    <t>http://www.ti.com/lit/gpn/AMC3301-Q1</t>
  </si>
  <si>
    <t>http://www.ti.com/lit/gpn/AMC1300</t>
  </si>
  <si>
    <t>AMC1300B-Q1:</t>
  </si>
  <si>
    <t>http://www.ti.com/lit/gpn/AMC1300B-Q1</t>
  </si>
  <si>
    <t>AMC1400:</t>
  </si>
  <si>
    <t>http://www.ti.com/lit/gpn/AMC1400</t>
  </si>
  <si>
    <t>http://www.ti.com/lit/gpn/AMC1301</t>
  </si>
  <si>
    <t>http://www.ti.com/lit/gpn/AMC1301-Q1</t>
  </si>
  <si>
    <t>AMC3330:</t>
  </si>
  <si>
    <t>Voltage</t>
  </si>
  <si>
    <t>± 1V</t>
  </si>
  <si>
    <t>http://www.ti.com/lit/gpn/AMC3330</t>
  </si>
  <si>
    <t>AMC3330-Q1:</t>
  </si>
  <si>
    <t>http://www.ti.com/lit/gpn/AMC3330-Q1</t>
  </si>
  <si>
    <t>± 5V</t>
  </si>
  <si>
    <t>http://www.ti.com/lit/gpn/AMC1350</t>
  </si>
  <si>
    <t>± 12V</t>
  </si>
  <si>
    <t>http://www.ti.com/lit/gpn/ISO224</t>
  </si>
  <si>
    <t>0 - 5V</t>
  </si>
  <si>
    <t>http://www.ti.com/lit/gpn/AMC1351</t>
  </si>
  <si>
    <t>0 - 2V</t>
  </si>
  <si>
    <t>http://www.ti.com/lit/gpn/AMC1311</t>
  </si>
  <si>
    <t>http://www.ti.com/lit/gpn/AMC1311-Q1</t>
  </si>
  <si>
    <t>AMC1411:</t>
  </si>
  <si>
    <t>http://www.ti.com/lit/gpn/AMC1411</t>
  </si>
  <si>
    <t>Automotive</t>
  </si>
  <si>
    <t>Ambient Temperature Min</t>
  </si>
  <si>
    <t>Ambient Temperature Max</t>
  </si>
  <si>
    <t>1+2+3 (RSS)</t>
  </si>
  <si>
    <t xml:space="preserve"> Gain</t>
  </si>
  <si>
    <t>OPA Input Offset</t>
  </si>
  <si>
    <t>Output of AMC</t>
  </si>
  <si>
    <t>OPA Offset Drift</t>
  </si>
  <si>
    <t>OPA Rf/Rg Tolerance</t>
  </si>
  <si>
    <t>Output of OPAMP</t>
  </si>
  <si>
    <t>Rf</t>
  </si>
  <si>
    <t>Rg</t>
  </si>
  <si>
    <t>Error %FSR</t>
  </si>
  <si>
    <t>Worst-Case Total Error</t>
  </si>
  <si>
    <t>Worst-Case Total Error after offset calibration</t>
  </si>
  <si>
    <t>Worst-Case Total Error after offset and 2-point gain calibration</t>
  </si>
  <si>
    <t>Worst-Case Total Error after offset and 2-point gain calibration over temperature</t>
  </si>
  <si>
    <t>Typical Total Error after offset calibration</t>
  </si>
  <si>
    <t>Typical Total Error after offset and 2-point gain calibration</t>
  </si>
  <si>
    <t>Resistor Divider Tolerance</t>
  </si>
  <si>
    <t>Resistor Divider Drift</t>
  </si>
  <si>
    <t>V Error @Input</t>
  </si>
  <si>
    <t>Rdiv_min</t>
  </si>
  <si>
    <t>Rdiv_nom</t>
  </si>
  <si>
    <t>Rdiv_max</t>
  </si>
  <si>
    <t>Sense Resistor Tolerance</t>
  </si>
  <si>
    <t>Sense Resistor Drift</t>
  </si>
  <si>
    <t>Rsense_min</t>
  </si>
  <si>
    <t>Rsense_nom</t>
  </si>
  <si>
    <t>Rsense_max</t>
  </si>
  <si>
    <t>External Resistor Tolerance</t>
  </si>
  <si>
    <t>+External Resistor Drift</t>
  </si>
  <si>
    <t>+Sense Resistor Drift</t>
  </si>
  <si>
    <t xml:space="preserve">Typical Total Error </t>
  </si>
  <si>
    <t>Voltages</t>
  </si>
  <si>
    <t>Vin_FS_Rdiv_min</t>
  </si>
  <si>
    <t>Vin_FS_Rdiv_max</t>
  </si>
  <si>
    <t>Vin_FS_Rdiv_min+drift</t>
  </si>
  <si>
    <t>Vin_FS_Rdiv_max+drift</t>
  </si>
  <si>
    <t>Vin_FS_Rsense_min</t>
  </si>
  <si>
    <t>Vin_FS_Rsense_max</t>
  </si>
  <si>
    <t>Vin_FS_Rsense_min+drift</t>
  </si>
  <si>
    <t>Vin_FS_Rsense_max+drift</t>
  </si>
  <si>
    <t>Errors</t>
  </si>
  <si>
    <t>Rdiv min + Rsense max Error</t>
  </si>
  <si>
    <t>Vin_FS</t>
  </si>
  <si>
    <t>Vin_FS_drift</t>
  </si>
  <si>
    <t>GE_Rdiv_min</t>
  </si>
  <si>
    <t>GE_Rdiv_max</t>
  </si>
  <si>
    <t>GE+T_Rdiv_min+drift</t>
  </si>
  <si>
    <t>GE+T_Rdiv_max+drift</t>
  </si>
  <si>
    <t>GE_FS_Rsense_min</t>
  </si>
  <si>
    <t>GE_Rsense_max</t>
  </si>
  <si>
    <t>GE+T_Rsense_min+drift</t>
  </si>
  <si>
    <t>GE+T_Rsense_max+drift</t>
  </si>
  <si>
    <t>GE</t>
  </si>
  <si>
    <t>GE+T</t>
  </si>
  <si>
    <t>Mixed Error + GE+T_Rin + Ib</t>
  </si>
  <si>
    <t>AMC Rin drift specified at 10ppm/C</t>
  </si>
  <si>
    <t>Error due to variation in Rin; +/-15% assumed if not specified</t>
  </si>
  <si>
    <t>Resistor Divider Current (uA)</t>
  </si>
  <si>
    <t>Diode leakage Error</t>
  </si>
  <si>
    <t>Diode leakage Error = 30nA * 0.1% Tolerance mismatch of 300kOhm Resistors</t>
  </si>
  <si>
    <t>Maximum Error (mV)</t>
  </si>
  <si>
    <t>Typical Error (mV)</t>
  </si>
  <si>
    <t>Total Error</t>
  </si>
  <si>
    <t>Total Error after offset cal</t>
  </si>
  <si>
    <t>Total Error after offset and 2-point gain calibration</t>
  </si>
  <si>
    <t>Total Error after offset and 2-point gain cal over temperature</t>
  </si>
  <si>
    <t>Typical Error (%FSR)</t>
  </si>
  <si>
    <t>Worst-Case Error (%FSR)</t>
  </si>
  <si>
    <t>Worst-Case Error (mV)</t>
  </si>
  <si>
    <t>Ideal +FS Input</t>
  </si>
  <si>
    <t>Usable +FS Input</t>
  </si>
  <si>
    <t>Ideal +FS Output</t>
  </si>
  <si>
    <t>User Inputs for Dif. To SE Conversion</t>
  </si>
  <si>
    <t>Worst Case Differential to Single-Ended Error PPM</t>
  </si>
  <si>
    <t>Final Error Results</t>
  </si>
  <si>
    <t>Typical Total Error (PPM)</t>
  </si>
  <si>
    <t>Typical Total Error (%FSR)</t>
  </si>
  <si>
    <t>Worst-Case Total Error (mV)</t>
  </si>
  <si>
    <t>Worst-Case Total Error (%FSR)</t>
  </si>
  <si>
    <t>Typical Total Error (mV)</t>
  </si>
  <si>
    <t>Worst Case Resistor Divider Error PPM</t>
  </si>
  <si>
    <t>AMC Error PPM</t>
  </si>
  <si>
    <t xml:space="preserve">Total Worst Case PPM </t>
  </si>
  <si>
    <t>Total Error PPM</t>
  </si>
  <si>
    <t>mV Error</t>
  </si>
  <si>
    <t>mV Error @Input</t>
  </si>
  <si>
    <t>1)</t>
  </si>
  <si>
    <t>Output options</t>
  </si>
  <si>
    <t>Difference between ideal voltage and actual voltage output</t>
  </si>
  <si>
    <t>Data Sheet typical and maximum values listed &amp; translated to mV</t>
  </si>
  <si>
    <t>AMC devices</t>
  </si>
  <si>
    <t>How gain error changes over temperature</t>
  </si>
  <si>
    <t>Difference between ideal offset to actual offset</t>
  </si>
  <si>
    <t>Ambient Temperature Minimum</t>
  </si>
  <si>
    <t>Minimum temperature of environment</t>
  </si>
  <si>
    <t>Ambient Temperature Maximum</t>
  </si>
  <si>
    <t>Maximum temperature of environment</t>
  </si>
  <si>
    <t>How offset error changes over temperature</t>
  </si>
  <si>
    <r>
      <t xml:space="preserve">Resistor value of input filter (typ. 10 </t>
    </r>
    <r>
      <rPr>
        <sz val="11"/>
        <color theme="1"/>
        <rFont val="Calibri"/>
        <family val="2"/>
      </rPr>
      <t>Ω)</t>
    </r>
  </si>
  <si>
    <t xml:space="preserve">Integral Non Linearity - deviation of the actual transfer function with respect to ideal transfer function </t>
  </si>
  <si>
    <t>Capacitor value of input filter (typ 10 nF)</t>
  </si>
  <si>
    <t>2)</t>
  </si>
  <si>
    <t xml:space="preserve">User Inputs Results </t>
  </si>
  <si>
    <t>How INL error changes over temperature</t>
  </si>
  <si>
    <t>Cutoff filter value from input filter</t>
  </si>
  <si>
    <t>6)</t>
  </si>
  <si>
    <r>
      <rPr>
        <b/>
        <sz val="11"/>
        <color theme="1"/>
        <rFont val="Calibri"/>
        <family val="2"/>
        <scheme val="minor"/>
      </rPr>
      <t xml:space="preserve">Error Results - </t>
    </r>
    <r>
      <rPr>
        <sz val="11"/>
        <color theme="1"/>
        <rFont val="Calibri"/>
        <family val="2"/>
        <scheme val="minor"/>
      </rPr>
      <t>Error of device with user inputs</t>
    </r>
  </si>
  <si>
    <t>Final Result! Error of device &amp; user inputs only</t>
  </si>
  <si>
    <t>Error calculated cutput preferred typical and maximum values, listed as a percentage of full-scale range &amp; translated to mV</t>
  </si>
  <si>
    <t>Total Error after offset calibration</t>
  </si>
  <si>
    <t>Error if calibrate offset</t>
  </si>
  <si>
    <t>Error if calibrate offset twice</t>
  </si>
  <si>
    <t>Error if calibrate offset twice over temperaure (should have best results)</t>
  </si>
  <si>
    <t>4)</t>
  </si>
  <si>
    <t>Differential to single-ended conversion directions and results explanations.</t>
  </si>
  <si>
    <t>5)</t>
  </si>
  <si>
    <t>Reference Specifications table above for definitions.</t>
  </si>
  <si>
    <t>Voltage required between two input terminals of selected op amp to have 0V output (from OPA data sheet)</t>
  </si>
  <si>
    <t>Differential to Single-Ended Conversion Error Results</t>
  </si>
  <si>
    <t>Reference Error Results table above for definitions</t>
  </si>
  <si>
    <t>How OPA input offset changes over temperature (from OPA data sheet)</t>
  </si>
  <si>
    <t>Device (1) + Shunt Resistor (2) + Op Amp (3) error results in typical/worst-case values:</t>
  </si>
  <si>
    <t>Tolerance of op amp resistors selected</t>
  </si>
  <si>
    <t>Feedback resistor value (recommended value in device data sheet)</t>
  </si>
  <si>
    <t>Root-sum-square error in PPM</t>
  </si>
  <si>
    <t>Non inverting ground resistor value (recommended value in device data sheet)</t>
  </si>
  <si>
    <t>Total Error percentage of full scale range</t>
  </si>
  <si>
    <t>Error in mV of Op Amp</t>
  </si>
  <si>
    <r>
      <rPr>
        <b/>
        <sz val="11"/>
        <color theme="1"/>
        <rFont val="Calibri"/>
        <family val="2"/>
        <scheme val="minor"/>
      </rPr>
      <t xml:space="preserve">AMC Error PPM - </t>
    </r>
    <r>
      <rPr>
        <sz val="11"/>
        <color theme="1"/>
        <rFont val="Calibri"/>
        <family val="2"/>
        <scheme val="minor"/>
      </rPr>
      <t>Error from device over full-scale output in parts per million</t>
    </r>
  </si>
  <si>
    <t>Error in mV at input of device</t>
  </si>
  <si>
    <t>A Error @Input</t>
  </si>
  <si>
    <t>Error in A at input of device</t>
  </si>
  <si>
    <t>3)</t>
  </si>
  <si>
    <t>Tolerance of shunt resistor translated to PPM</t>
  </si>
  <si>
    <t>How shunt resistor tolerance changes over temperature in PPM</t>
  </si>
  <si>
    <r>
      <t xml:space="preserve">Worst Case Differential to Single-Ended Error PPM - </t>
    </r>
    <r>
      <rPr>
        <sz val="11"/>
        <color theme="1"/>
        <rFont val="Calibri"/>
        <family val="2"/>
        <scheme val="minor"/>
      </rPr>
      <t>Error from Op Amp user inputs</t>
    </r>
  </si>
  <si>
    <t>Gain of Op Amp feedback resistors</t>
  </si>
  <si>
    <r>
      <t>Positive full-scale output of AMC in mV [</t>
    </r>
    <r>
      <rPr>
        <i/>
        <sz val="11"/>
        <color theme="1"/>
        <rFont val="Calibri"/>
        <family val="2"/>
        <scheme val="minor"/>
      </rPr>
      <t>Input of Op Amp</t>
    </r>
    <r>
      <rPr>
        <sz val="11"/>
        <color theme="1"/>
        <rFont val="Calibri"/>
        <family val="2"/>
        <scheme val="minor"/>
      </rPr>
      <t>]</t>
    </r>
  </si>
  <si>
    <t>Output of Op Amp</t>
  </si>
  <si>
    <t>Expected output of Op Amp based on previous two values</t>
  </si>
  <si>
    <t>Difference between ideal voltage and actual voltage output of Op Amp</t>
  </si>
  <si>
    <t>How gain error changes over temperature of Op Amp</t>
  </si>
  <si>
    <t>Difference between ideal offset to actual offset of Op Amp</t>
  </si>
  <si>
    <t>How offset error changes over temperature of Op Amp</t>
  </si>
  <si>
    <t>Maximum voltage system will detect</t>
  </si>
  <si>
    <t>R1/R2 Resistance</t>
  </si>
  <si>
    <t>Voltage divider value (R = V/I; V=max. input, I=max. current)</t>
  </si>
  <si>
    <t>Voltage across shunt resistor</t>
  </si>
  <si>
    <t>Calculated shunt resistor value</t>
  </si>
  <si>
    <t>Calculated R3' value</t>
  </si>
  <si>
    <t>Closest 1% rated resistor value to ideal resistance</t>
  </si>
  <si>
    <t>Power dissipated across resistor divider at room temperature</t>
  </si>
  <si>
    <t>Maximum full scale differential input voltage in respect to input current</t>
  </si>
  <si>
    <t>Minimum full scale differential input voltage in respect to input current</t>
  </si>
  <si>
    <t>Maximum full scale differential input voltage in respect to input current and room temperature</t>
  </si>
  <si>
    <t>Minimum full scale differential input voltage in respect to input current and room temperature</t>
  </si>
  <si>
    <t>Current across resistor divider</t>
  </si>
  <si>
    <r>
      <t xml:space="preserve">Worst Case Resistor Divider Error PPM - </t>
    </r>
    <r>
      <rPr>
        <sz val="11"/>
        <color theme="1"/>
        <rFont val="Calibri"/>
        <family val="2"/>
        <scheme val="minor"/>
      </rPr>
      <t>Resistor divider error in parts per million</t>
    </r>
  </si>
  <si>
    <t>Resistor Divider Tolderance</t>
  </si>
  <si>
    <t>Tolerance of resistors from resistor divider</t>
  </si>
  <si>
    <t>Drift of resistors from resistor divider</t>
  </si>
  <si>
    <r>
      <t xml:space="preserve">Total Worst Case PPM Solutions - </t>
    </r>
    <r>
      <rPr>
        <sz val="11"/>
        <color theme="1"/>
        <rFont val="Calibri"/>
        <family val="2"/>
        <scheme val="minor"/>
      </rPr>
      <t>Section 1 + 2 + 3; root-sum-square</t>
    </r>
  </si>
  <si>
    <t>http://www.ti.com/lit/gpn/AMC1211-q1</t>
  </si>
  <si>
    <t>Intermediary Result =</t>
  </si>
  <si>
    <t>Final Result =</t>
  </si>
  <si>
    <t>OPA Rf/Rg Drift</t>
  </si>
  <si>
    <t>Calculated input offset as per drawn circuit due to OPA offset, offset drift, Rf/Rg tolerance, Rf/Rg drift, assuming 5V supply and 2.5V common-mode output</t>
  </si>
  <si>
    <t>How OPA Rf/Rg tolerance changes over temperature</t>
  </si>
  <si>
    <t>Reference Input Offset Voltage</t>
  </si>
  <si>
    <t>Reference Offset Voltage Drift</t>
  </si>
  <si>
    <t>How reference input offset voltage changes over temperature</t>
  </si>
  <si>
    <t>5. Go to the Directions tab for descriptions of each cell in the Voltage Sensing Calculator</t>
  </si>
  <si>
    <t xml:space="preserve">Link: </t>
  </si>
  <si>
    <t>Directions</t>
  </si>
  <si>
    <t xml:space="preserve">Voltage Sensing Calculator directions and results explanations. </t>
  </si>
  <si>
    <r>
      <rPr>
        <u/>
        <sz val="10"/>
        <rFont val="Arial"/>
        <family val="2"/>
      </rPr>
      <t xml:space="preserve">For any futher assistance on this tool, please post your question in the following forum - </t>
    </r>
    <r>
      <rPr>
        <u/>
        <sz val="10"/>
        <color theme="10"/>
        <rFont val="Arial"/>
        <family val="2"/>
      </rPr>
      <t>E2E Precision Data Converters Forum</t>
    </r>
  </si>
  <si>
    <t>Definitions and descriptions of calculator parameters and results</t>
  </si>
  <si>
    <t>https://www.ti.com/lit/sbaa350</t>
  </si>
  <si>
    <t>Input Configuration</t>
  </si>
  <si>
    <t>Output Type</t>
  </si>
  <si>
    <t>±Output Voltage Range</t>
  </si>
  <si>
    <t>AMC0311D</t>
  </si>
  <si>
    <t>AMC0311D-Q1</t>
  </si>
  <si>
    <t>AMC0311R-Q1 (Vref = 3.3V)</t>
  </si>
  <si>
    <t>Ratiometric</t>
  </si>
  <si>
    <t>AMC0311R-Q1 (Vref = 5V)</t>
  </si>
  <si>
    <t>AMC0311S</t>
  </si>
  <si>
    <t>AMC0311S-Q1</t>
  </si>
  <si>
    <t>2.05 V</t>
  </si>
  <si>
    <t>2 V</t>
  </si>
  <si>
    <t xml:space="preserve"> 2 V</t>
  </si>
  <si>
    <t>2.49 V</t>
  </si>
  <si>
    <t>0.2-4.8 V</t>
  </si>
  <si>
    <t>0-2V</t>
  </si>
  <si>
    <t>0-2.25V</t>
  </si>
  <si>
    <t>http://www.ti.com/lit/gpn/AMC0311D</t>
  </si>
  <si>
    <t>http://www.ti.com/lit/gpn/AMC0311D-Q1</t>
  </si>
  <si>
    <t>http://www.ti.com/lit/gpn/AMC0311S</t>
  </si>
  <si>
    <t>http://www.ti.com/lit/gpn/AMC0311S-Q1</t>
  </si>
  <si>
    <t>http://www.ti.com/lit/gpn/AMC0311R-Q1</t>
  </si>
  <si>
    <t>AMC0100R (Vref = 3.3V)</t>
  </si>
  <si>
    <t>AMC0100R (Vref = 5V)</t>
  </si>
  <si>
    <t>AMC0200D</t>
  </si>
  <si>
    <t>AMC0200D-Q1</t>
  </si>
  <si>
    <t>AMC0200R (Vref = 3.3V)</t>
  </si>
  <si>
    <t>AMC0200R (Vref = 5V)</t>
  </si>
  <si>
    <t>AMC0200R-Q1 (Vref = 3.3V)</t>
  </si>
  <si>
    <t>AMC0200R-Q1 (Vref = 5V)</t>
  </si>
  <si>
    <t>AMC0202D</t>
  </si>
  <si>
    <t>AMC0202D-Q1</t>
  </si>
  <si>
    <t>AMC0202R (Vref = 3.3V)</t>
  </si>
  <si>
    <t>AMC0202R (Vref = 5V)</t>
  </si>
  <si>
    <t>AMC0202R-Q1 (Vref = 3.3V)</t>
  </si>
  <si>
    <t>AMC0202R-Q1 (Vref = 5V)</t>
  </si>
  <si>
    <t>AMC0211D</t>
  </si>
  <si>
    <t>AMC0211D-Q1</t>
  </si>
  <si>
    <t>AMC0211R-Q1 (Vref = 3.3V)</t>
  </si>
  <si>
    <t>AMC0211R-Q1 (Vref = 5V)</t>
  </si>
  <si>
    <t>AMC0211S</t>
  </si>
  <si>
    <t>AMC0211S-Q1</t>
  </si>
  <si>
    <t>AMC0230D</t>
  </si>
  <si>
    <t>AMC0230D-Q1</t>
  </si>
  <si>
    <t>AMC0230R (Vref = 3.3V)</t>
  </si>
  <si>
    <t>AMC0230R (Vref = 5V)</t>
  </si>
  <si>
    <t>AMC0230R-Q1 (Vref = 3.3V)</t>
  </si>
  <si>
    <t>AMC0230R-Q1 (Vref = 5V)</t>
  </si>
  <si>
    <t>AMC0230S</t>
  </si>
  <si>
    <t>AMC0230S-Q1</t>
  </si>
  <si>
    <t>AMC0300D</t>
  </si>
  <si>
    <t>AMC0300D-Q1</t>
  </si>
  <si>
    <t>AMC0300R (Vref = 3.3V)</t>
  </si>
  <si>
    <t>AMC0300R (Vref = 5V)</t>
  </si>
  <si>
    <t>AMC0300R-Q1 (Vref = 3.3V)</t>
  </si>
  <si>
    <t>AMC0300R-Q1 (Vref = 5V)</t>
  </si>
  <si>
    <t>AMC0302D</t>
  </si>
  <si>
    <t>AMC0302D-Q1</t>
  </si>
  <si>
    <t>AMC0302R (Vref = 3.3V)</t>
  </si>
  <si>
    <t>AMC0302R (Vref = 5V)</t>
  </si>
  <si>
    <t>AMC0302R-Q1 (Vref = 3.3V)</t>
  </si>
  <si>
    <t>AMC0302R-Q1 (Vref = 5V)</t>
  </si>
  <si>
    <t>AMC0330D</t>
  </si>
  <si>
    <t>AMC0330D-Q1</t>
  </si>
  <si>
    <t>AMC0330R (Vref = 3.3V)</t>
  </si>
  <si>
    <t>AMC0330R (Vref = 5V)</t>
  </si>
  <si>
    <t>AMC0330R-Q1 (Vref = 3.3V)</t>
  </si>
  <si>
    <t>AMC0330R-Q1 (Vref = 5V)</t>
  </si>
  <si>
    <t>AMC0330S</t>
  </si>
  <si>
    <t>AMC0330S-Q1</t>
  </si>
  <si>
    <t>AMC1200C</t>
  </si>
  <si>
    <t>Data Validation (Input Type)</t>
  </si>
  <si>
    <t>Integrated Resistor Divider</t>
  </si>
  <si>
    <t>Device_List_IntRdiv</t>
  </si>
  <si>
    <t>Sel IntRdiv</t>
  </si>
  <si>
    <t>Row Sel IntRdiv</t>
  </si>
  <si>
    <t>Input bias current multiplied by sense resistor. Variation of input bias current and external resistor temperature drift is not accounted for.</t>
  </si>
  <si>
    <t>Typical and Maximum Errors use root-sum-square (RSS)</t>
  </si>
  <si>
    <t>Worst-Case Error does not use RSS</t>
  </si>
  <si>
    <t>Maximum Total Error (PPM)</t>
  </si>
  <si>
    <t>Maximum Total Error</t>
  </si>
  <si>
    <t>Maximum Total Error after offset calibration</t>
  </si>
  <si>
    <t>Maximum Total Error after offset and 2-point gain calibration</t>
  </si>
  <si>
    <t>Resistor Divider (1) + AMC (2) + Diff to SE Conversion (3)</t>
  </si>
  <si>
    <t>AMC0380Dxx</t>
  </si>
  <si>
    <t>AMC0380Dxx-Q1</t>
  </si>
  <si>
    <t>AMC0381Dxx</t>
  </si>
  <si>
    <t>AMC0381Dxx-Q1</t>
  </si>
  <si>
    <t>AMC3311</t>
  </si>
  <si>
    <t>AMC3311-Q1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</si>
</sst>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5">
    <numFmt numFmtId="164" formatCode="0.000%"/>
    <numFmt numFmtId="165" formatCode="0\ &quot;ppm/°C&quot;"/>
    <numFmt numFmtId="166" formatCode="0.00\ &quot;mV&quot;"/>
    <numFmt numFmtId="167" formatCode="0.00\ &quot; µV/°C&quot;"/>
    <numFmt numFmtId="168" formatCode="0\ &quot;µA&quot;"/>
    <numFmt numFmtId="169" formatCode="0.000\ &quot;mV&quot;"/>
    <numFmt numFmtId="170" formatCode="0.0000\ &quot;V&quot;"/>
    <numFmt numFmtId="171" formatCode="0\ &quot;V&quot;"/>
    <numFmt numFmtId="172" formatCode="#,##0\ &quot;Ω&quot;"/>
    <numFmt numFmtId="173" formatCode="0.000\ &quot;µA&quot;"/>
    <numFmt numFmtId="174" formatCode="0.0\ &quot;ppm/°C&quot;"/>
    <numFmt numFmtId="175" formatCode="#,##0\ &quot;mV&quot;"/>
    <numFmt numFmtId="176" formatCode="0\ &quot;°C&quot;"/>
    <numFmt numFmtId="177" formatCode="0.0000\ &quot;µA&quot;"/>
    <numFmt numFmtId="178" formatCode="0.000\ &quot;V&quot;"/>
    <numFmt numFmtId="179" formatCode="#,##0.000\ &quot;Ω&quot;"/>
    <numFmt numFmtId="180" formatCode="#,##0.000\ &quot;mV&quot;"/>
    <numFmt numFmtId="181" formatCode="0.000000000"/>
    <numFmt numFmtId="182" formatCode="#,##0.00\ &quot;Ω&quot;"/>
    <numFmt numFmtId="183" formatCode="#,###.00\ &quot;mV&quot;"/>
    <numFmt numFmtId="184" formatCode="#,##0\ &quot;mW&quot;"/>
    <numFmt numFmtId="185" formatCode="0.00\ &quot;nF&quot;"/>
    <numFmt numFmtId="186" formatCode="#,###\ &quot;kHz&quot;"/>
    <numFmt numFmtId="187" formatCode="#,##0.0"/>
    <numFmt numFmtId="188" formatCode="0.0000\ &quot;mV&quot;"/>
    <numFmt numFmtId="189" formatCode="0.0\ &quot;%&quot;"/>
    <numFmt numFmtId="190" formatCode="0.000"/>
    <numFmt numFmtId="191" formatCode="#,##0.0\ &quot;kΩ&quot;"/>
    <numFmt numFmtId="192" formatCode="0.00\ &quot;V&quot;"/>
    <numFmt numFmtId="193" formatCode="#,##0.00\ &quot;mV&quot;"/>
    <numFmt numFmtId="194" formatCode="0.0000%"/>
    <numFmt numFmtId="195" formatCode="#,##0.000\ &quot;uA&quot;"/>
    <numFmt numFmtId="196" formatCode="0.000\ &quot;uA&quot;"/>
    <numFmt numFmtId="197" formatCode="0\ &quot;mV&quot;"/>
    <numFmt numFmtId="198" formatCode="#,##0\ &quot;V&quot;"/>
  </numFmts>
  <fonts count="50">
    <font>
      <sz val="11"/>
      <color theme="1"/>
      <name val="Calibri"/>
      <family val="2"/>
      <scheme val="minor"/>
    </font>
    <font>
      <b/>
      <sz val="11"/>
      <color theme="1"/>
      <name val="Calibri"/>
      <family val="2"/>
      <scheme val="minor"/>
    </font>
    <font>
      <sz val="11"/>
      <color theme="1"/>
      <name val="Calibri"/>
      <family val="2"/>
    </font>
    <font>
      <b/>
      <sz val="11"/>
      <color theme="1"/>
      <name val="Arial"/>
      <family val="2"/>
    </font>
    <font>
      <u/>
      <sz val="11"/>
      <color theme="10"/>
      <name val="Calibri"/>
      <family val="2"/>
      <scheme val="minor"/>
    </font>
    <font>
      <u/>
      <sz val="11"/>
      <color theme="10"/>
      <name val="Arial"/>
      <family val="2"/>
    </font>
    <font>
      <sz val="11"/>
      <color theme="1"/>
      <name val="Arial"/>
      <family val="2"/>
    </font>
    <font>
      <sz val="10"/>
      <color theme="1"/>
      <name val="Arial"/>
      <family val="2"/>
    </font>
    <font>
      <b/>
      <u/>
      <sz val="10"/>
      <color theme="10"/>
      <name val="Arial"/>
      <family val="2"/>
    </font>
    <font>
      <b/>
      <sz val="10"/>
      <color theme="1"/>
      <name val="Arial"/>
      <family val="2"/>
    </font>
    <font>
      <sz val="11"/>
      <color rgb="FFFF0000"/>
      <name val="Calibri"/>
      <family val="2"/>
      <scheme val="minor"/>
    </font>
    <font>
      <b/>
      <sz val="14"/>
      <color theme="1"/>
      <name val="Calibri"/>
      <family val="2"/>
      <scheme val="minor"/>
    </font>
    <font>
      <b/>
      <sz val="11"/>
      <color theme="1"/>
      <name val="Calibri"/>
      <family val="2"/>
    </font>
    <font>
      <sz val="11"/>
      <name val="Calibri"/>
      <family val="2"/>
      <scheme val="minor"/>
    </font>
    <font>
      <b/>
      <sz val="11"/>
      <color rgb="FFDE0000"/>
      <name val="Calibri"/>
      <family val="2"/>
      <scheme val="minor"/>
    </font>
    <font>
      <i/>
      <sz val="10"/>
      <color theme="1"/>
      <name val="Arial"/>
      <family val="2"/>
    </font>
    <font>
      <sz val="11"/>
      <color theme="0"/>
      <name val="Calibri"/>
      <family val="2"/>
      <scheme val="minor"/>
    </font>
    <font>
      <sz val="11"/>
      <color theme="1"/>
      <name val="Calibri"/>
      <family val="2"/>
      <scheme val="minor"/>
    </font>
    <font>
      <sz val="11"/>
      <color theme="1"/>
      <name val="Calibri"/>
      <family val="2"/>
    </font>
    <font>
      <sz val="36"/>
      <color theme="1"/>
      <name val="Calibri"/>
      <family val="2"/>
      <scheme val="minor"/>
    </font>
    <font>
      <b/>
      <sz val="36"/>
      <color theme="1"/>
      <name val="Calibri"/>
      <family val="2"/>
      <scheme val="minor"/>
    </font>
    <font>
      <sz val="6"/>
      <name val="Calibri"/>
      <family val="3"/>
      <charset val="128"/>
      <scheme val="minor"/>
    </font>
    <font>
      <b/>
      <sz val="11"/>
      <color theme="0"/>
      <name val="Calibri"/>
      <family val="2"/>
      <scheme val="minor"/>
    </font>
    <font>
      <sz val="14"/>
      <color rgb="FF464646"/>
      <name val="Arial"/>
      <family val="2"/>
    </font>
    <font>
      <sz val="14"/>
      <color rgb="FF464646"/>
      <name val="Arial"/>
      <family val="2"/>
    </font>
    <font>
      <sz val="7"/>
      <color rgb="FF000000"/>
      <name val="Verdana"/>
      <family val="2"/>
    </font>
    <font>
      <sz val="11"/>
      <color theme="1"/>
      <name val="Calibri"/>
      <family val="2"/>
      <scheme val="minor"/>
    </font>
    <font>
      <u/>
      <sz val="10"/>
      <color theme="10"/>
      <name val="Arial"/>
      <family val="2"/>
    </font>
    <font>
      <u/>
      <sz val="10"/>
      <name val="Arial"/>
      <family val="2"/>
    </font>
    <font>
      <b/>
      <sz val="11"/>
      <name val="Calibri"/>
      <family val="2"/>
      <scheme val="minor"/>
    </font>
    <font>
      <b/>
      <sz val="10"/>
      <color theme="0"/>
      <name val="Arial"/>
      <family val="2"/>
    </font>
    <font>
      <sz val="11"/>
      <color theme="1"/>
      <name val="Calibri"/>
      <family val="2"/>
      <scheme val="minor"/>
    </font>
    <font>
      <sz val="11"/>
      <color theme="1"/>
      <name val="Calibri"/>
      <family val="2"/>
    </font>
    <font>
      <sz val="14"/>
      <color rgb="FF464646"/>
      <name val="Arial"/>
      <family val="2"/>
    </font>
    <font>
      <u/>
      <sz val="11"/>
      <color theme="1"/>
      <name val="Calibri"/>
      <family val="2"/>
      <scheme val="minor"/>
    </font>
    <font>
      <i/>
      <sz val="11"/>
      <color theme="1"/>
      <name val="Calibri"/>
      <family val="2"/>
      <scheme val="minor"/>
    </font>
    <font>
      <b/>
      <sz val="14"/>
      <color theme="0"/>
      <name val="Calibri"/>
      <family val="2"/>
      <scheme val="minor"/>
    </font>
    <font>
      <sz val="11"/>
      <color theme="1"/>
      <name val="Calibri"/>
      <family val="2"/>
      <scheme val="minor"/>
    </font>
    <font>
      <sz val="11"/>
      <color theme="1"/>
      <name val="Calibri"/>
      <family val="2"/>
    </font>
    <font>
      <b/>
      <u/>
      <sz val="11"/>
      <color theme="1"/>
      <name val="Calibri"/>
      <family val="2"/>
      <scheme val="minor"/>
    </font>
    <font>
      <b/>
      <i/>
      <sz val="11"/>
      <color theme="1"/>
      <name val="Calibri"/>
      <family val="2"/>
      <scheme val="minor"/>
    </font>
    <font>
      <sz val="11"/>
      <color theme="1"/>
      <name val="Calibri"/>
      <scheme val="minor"/>
    </font>
    <font>
      <sz val="14"/>
      <color rgb="FF464646"/>
      <name val="Arial"/>
    </font>
    <font>
      <b/>
      <i/>
      <sz val="10"/>
      <color theme="1"/>
      <name val="Calibri"/>
      <family val="2"/>
      <scheme val="minor"/>
    </font>
    <font>
      <sz val="10"/>
      <color theme="1"/>
      <name val="Calibri"/>
      <family val="2"/>
      <scheme val="minor"/>
    </font>
    <font>
      <b/>
      <sz val="10"/>
      <name val="Arial"/>
      <family val="2"/>
    </font>
    <font>
      <sz val="10"/>
      <name val="Arial"/>
      <family val="2"/>
    </font>
    <font>
      <u/>
      <sz val="10"/>
      <color theme="10"/>
      <name val="Calibri"/>
      <family val="2"/>
      <scheme val="minor"/>
    </font>
    <font>
      <sz val="11"/>
      <color theme="1"/>
      <name val="Calibri"/>
    </font>
    <font>
      <u/>
      <sz val="14"/>
      <color theme="1"/>
      <name val="Calibri"/>
      <family val="2"/>
      <scheme val="minor"/>
    </font>
  </fonts>
  <fills count="15">
    <fill>
      <patternFill patternType="none"/>
    </fill>
    <fill>
      <patternFill patternType="gray125"/>
    </fill>
    <fill>
      <patternFill patternType="solid">
        <fgColor theme="0" tint="-0.14999847407452621"/>
        <bgColor indexed="64"/>
      </patternFill>
    </fill>
    <fill>
      <patternFill patternType="solid">
        <fgColor rgb="FFDE0000"/>
        <bgColor indexed="64"/>
      </patternFill>
    </fill>
    <fill>
      <patternFill patternType="solid">
        <fgColor rgb="FFCCFFCC"/>
        <bgColor indexed="64"/>
      </patternFill>
    </fill>
    <fill>
      <patternFill patternType="solid">
        <fgColor rgb="FFFFFFCC"/>
        <bgColor indexed="64"/>
      </patternFill>
    </fill>
    <fill>
      <patternFill patternType="solid">
        <fgColor rgb="FF89E0FF"/>
        <bgColor indexed="64"/>
      </patternFill>
    </fill>
    <fill>
      <patternFill patternType="solid">
        <fgColor theme="0"/>
        <bgColor indexed="64"/>
      </patternFill>
    </fill>
    <fill>
      <patternFill patternType="solid">
        <fgColor rgb="FFFFFFFF"/>
        <bgColor indexed="64"/>
      </patternFill>
    </fill>
    <fill>
      <patternFill patternType="solid">
        <fgColor theme="9" tint="0.39997558519241921"/>
        <bgColor indexed="64"/>
      </patternFill>
    </fill>
    <fill>
      <patternFill patternType="solid">
        <fgColor rgb="FFF7F7F7"/>
        <bgColor indexed="64"/>
      </patternFill>
    </fill>
    <fill>
      <patternFill patternType="solid">
        <fgColor rgb="FFFF0000"/>
        <bgColor indexed="64"/>
      </patternFill>
    </fill>
    <fill>
      <patternFill patternType="solid">
        <fgColor theme="0" tint="-4.9989318521683403E-2"/>
        <bgColor indexed="64"/>
      </patternFill>
    </fill>
    <fill>
      <patternFill patternType="solid">
        <fgColor rgb="FFBDEEFF"/>
        <bgColor indexed="64"/>
      </patternFill>
    </fill>
    <fill>
      <patternFill patternType="solid">
        <fgColor theme="1"/>
        <bgColor indexed="64"/>
      </patternFill>
    </fill>
  </fills>
  <borders count="75">
    <border>
      <left/>
      <right/>
      <top/>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top/>
      <bottom style="medium">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bottom style="medium">
        <color indexed="64"/>
      </bottom>
      <diagonal/>
    </border>
    <border>
      <left/>
      <right style="thin">
        <color indexed="64"/>
      </right>
      <top style="thin">
        <color indexed="64"/>
      </top>
      <bottom style="thin">
        <color indexed="64"/>
      </bottom>
      <diagonal/>
    </border>
    <border>
      <left/>
      <right/>
      <top/>
      <bottom style="thin">
        <color indexed="64"/>
      </bottom>
      <diagonal/>
    </border>
    <border>
      <left style="medium">
        <color indexed="64"/>
      </left>
      <right/>
      <top/>
      <bottom/>
      <diagonal/>
    </border>
    <border>
      <left/>
      <right style="thin">
        <color indexed="64"/>
      </right>
      <top/>
      <bottom style="thin">
        <color indexed="64"/>
      </bottom>
      <diagonal/>
    </border>
    <border>
      <left/>
      <right/>
      <top style="thin">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style="thin">
        <color indexed="64"/>
      </right>
      <top/>
      <bottom/>
      <diagonal/>
    </border>
    <border>
      <left/>
      <right style="thin">
        <color indexed="64"/>
      </right>
      <top style="thin">
        <color indexed="64"/>
      </top>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left style="medium">
        <color indexed="64"/>
      </left>
      <right/>
      <top style="medium">
        <color indexed="64"/>
      </top>
      <bottom/>
      <diagonal/>
    </border>
    <border>
      <left/>
      <right style="thin">
        <color indexed="64"/>
      </right>
      <top/>
      <bottom style="medium">
        <color indexed="64"/>
      </bottom>
      <diagonal/>
    </border>
    <border>
      <left/>
      <right/>
      <top style="thin">
        <color auto="1"/>
      </top>
      <bottom style="thin">
        <color auto="1"/>
      </bottom>
      <diagonal/>
    </border>
    <border>
      <left style="thin">
        <color indexed="64"/>
      </left>
      <right/>
      <top/>
      <bottom/>
      <diagonal/>
    </border>
    <border>
      <left/>
      <right style="medium">
        <color indexed="64"/>
      </right>
      <top/>
      <bottom style="medium">
        <color indexed="64"/>
      </bottom>
      <diagonal/>
    </border>
    <border>
      <left/>
      <right style="thin">
        <color indexed="64"/>
      </right>
      <top style="thin">
        <color auto="1"/>
      </top>
      <bottom style="thin">
        <color auto="1"/>
      </bottom>
      <diagonal/>
    </border>
    <border>
      <left/>
      <right/>
      <top style="thin">
        <color auto="1"/>
      </top>
      <bottom/>
      <diagonal/>
    </border>
    <border>
      <left/>
      <right style="medium">
        <color indexed="64"/>
      </right>
      <top/>
      <bottom/>
      <diagonal/>
    </border>
    <border>
      <left style="thin">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top/>
      <bottom style="thin">
        <color indexed="64"/>
      </bottom>
      <diagonal/>
    </border>
    <border>
      <left/>
      <right style="medium">
        <color rgb="FFC0C0C9"/>
      </right>
      <top/>
      <bottom/>
      <diagonal/>
    </border>
    <border>
      <left style="thin">
        <color indexed="64"/>
      </left>
      <right/>
      <top/>
      <bottom style="medium">
        <color indexed="64"/>
      </bottom>
      <diagonal/>
    </border>
    <border>
      <left style="medium">
        <color indexed="64"/>
      </left>
      <right style="medium">
        <color indexed="64"/>
      </right>
      <top style="medium">
        <color indexed="64"/>
      </top>
      <bottom style="medium">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left style="thin">
        <color indexed="64"/>
      </left>
      <right style="thin">
        <color indexed="64"/>
      </right>
      <top/>
      <bottom/>
      <diagonal/>
    </border>
    <border>
      <left style="medium">
        <color rgb="FFDDDDDD"/>
      </left>
      <right style="medium">
        <color rgb="FFDDDDDD"/>
      </right>
      <top style="medium">
        <color rgb="FFDDDDDD"/>
      </top>
      <bottom style="medium">
        <color rgb="FFDDDDDD"/>
      </bottom>
      <diagonal/>
    </border>
    <border>
      <left style="medium">
        <color rgb="FF999999"/>
      </left>
      <right style="medium">
        <color rgb="FFDDDDDD"/>
      </right>
      <top style="medium">
        <color rgb="FF999999"/>
      </top>
      <bottom style="medium">
        <color rgb="FFDDDDDD"/>
      </bottom>
      <diagonal/>
    </border>
    <border>
      <left style="medium">
        <color rgb="FFDDDDDD"/>
      </left>
      <right style="medium">
        <color rgb="FFDDDDDD"/>
      </right>
      <top style="medium">
        <color rgb="FF999999"/>
      </top>
      <bottom style="medium">
        <color rgb="FFDDDDDD"/>
      </bottom>
      <diagonal/>
    </border>
    <border>
      <left style="medium">
        <color rgb="FFDDDDDD"/>
      </left>
      <right style="medium">
        <color rgb="FF999999"/>
      </right>
      <top style="medium">
        <color rgb="FF999999"/>
      </top>
      <bottom style="medium">
        <color rgb="FFDDDDDD"/>
      </bottom>
      <diagonal/>
    </border>
    <border>
      <left style="medium">
        <color rgb="FF999999"/>
      </left>
      <right style="medium">
        <color rgb="FFDDDDDD"/>
      </right>
      <top style="medium">
        <color rgb="FFDDDDDD"/>
      </top>
      <bottom style="medium">
        <color rgb="FFDDDDDD"/>
      </bottom>
      <diagonal/>
    </border>
    <border>
      <left style="medium">
        <color rgb="FFDDDDDD"/>
      </left>
      <right style="medium">
        <color rgb="FF999999"/>
      </right>
      <top style="medium">
        <color rgb="FFDDDDDD"/>
      </top>
      <bottom style="medium">
        <color rgb="FFDDDDDD"/>
      </bottom>
      <diagonal/>
    </border>
    <border>
      <left style="medium">
        <color rgb="FF999999"/>
      </left>
      <right style="medium">
        <color rgb="FFDDDDDD"/>
      </right>
      <top style="medium">
        <color rgb="FFDDDDDD"/>
      </top>
      <bottom style="medium">
        <color rgb="FF999999"/>
      </bottom>
      <diagonal/>
    </border>
    <border>
      <left style="medium">
        <color rgb="FFDDDDDD"/>
      </left>
      <right style="medium">
        <color rgb="FFDDDDDD"/>
      </right>
      <top style="medium">
        <color rgb="FFDDDDDD"/>
      </top>
      <bottom style="medium">
        <color rgb="FF999999"/>
      </bottom>
      <diagonal/>
    </border>
    <border>
      <left style="medium">
        <color rgb="FFDDDDDD"/>
      </left>
      <right style="medium">
        <color rgb="FF999999"/>
      </right>
      <top style="medium">
        <color rgb="FFDDDDDD"/>
      </top>
      <bottom style="medium">
        <color rgb="FF999999"/>
      </bottom>
      <diagonal/>
    </border>
    <border>
      <left style="thin">
        <color indexed="64"/>
      </left>
      <right style="medium">
        <color indexed="64"/>
      </right>
      <top style="medium">
        <color indexed="64"/>
      </top>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right style="medium">
        <color indexed="64"/>
      </right>
      <top/>
      <bottom style="thin">
        <color indexed="64"/>
      </bottom>
      <diagonal/>
    </border>
    <border>
      <left style="thin">
        <color indexed="64"/>
      </left>
      <right/>
      <top style="medium">
        <color indexed="64"/>
      </top>
      <bottom/>
      <diagonal/>
    </border>
    <border>
      <left style="thin">
        <color indexed="64"/>
      </left>
      <right/>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bottom style="thin">
        <color indexed="64"/>
      </bottom>
      <diagonal/>
    </border>
    <border>
      <left/>
      <right style="thin">
        <color indexed="64"/>
      </right>
      <top style="medium">
        <color indexed="64"/>
      </top>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thin">
        <color indexed="64"/>
      </left>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top style="thin">
        <color indexed="64"/>
      </top>
      <bottom/>
      <diagonal/>
    </border>
  </borders>
  <cellStyleXfs count="4">
    <xf numFmtId="0" fontId="0" fillId="0" borderId="0"/>
    <xf numFmtId="0" fontId="4" fillId="0" borderId="0" applyNumberFormat="0" applyFill="0" applyBorder="0" applyAlignment="0" applyProtection="0"/>
    <xf numFmtId="0" fontId="26" fillId="0" borderId="0"/>
    <xf numFmtId="9" fontId="17" fillId="0" borderId="0" applyFont="0" applyFill="0" applyBorder="0" applyAlignment="0" applyProtection="0"/>
  </cellStyleXfs>
  <cellXfs count="808">
    <xf numFmtId="0" fontId="0" fillId="0" borderId="0" xfId="0"/>
    <xf numFmtId="0" fontId="15" fillId="0" borderId="19" xfId="0" quotePrefix="1" applyFont="1" applyFill="1" applyBorder="1" applyAlignment="1" applyProtection="1">
      <alignment horizontal="right" vertical="center"/>
    </xf>
    <xf numFmtId="0" fontId="7" fillId="5" borderId="46" xfId="0" applyFont="1" applyFill="1" applyBorder="1" applyAlignment="1" applyProtection="1">
      <alignment horizontal="center" vertical="center"/>
    </xf>
    <xf numFmtId="0" fontId="7" fillId="4" borderId="46" xfId="0" applyFont="1" applyFill="1" applyBorder="1" applyAlignment="1" applyProtection="1">
      <alignment horizontal="center" vertical="center"/>
    </xf>
    <xf numFmtId="0" fontId="15" fillId="0" borderId="19" xfId="0" applyFont="1" applyFill="1" applyBorder="1" applyAlignment="1" applyProtection="1">
      <alignment horizontal="right" vertical="center"/>
    </xf>
    <xf numFmtId="0" fontId="15" fillId="0" borderId="24" xfId="0" applyFont="1" applyFill="1" applyBorder="1" applyAlignment="1" applyProtection="1">
      <alignment horizontal="right" vertical="center"/>
    </xf>
    <xf numFmtId="0" fontId="7" fillId="13" borderId="47" xfId="0" applyFont="1" applyFill="1" applyBorder="1" applyAlignment="1" applyProtection="1">
      <alignment horizontal="center" vertical="center"/>
    </xf>
    <xf numFmtId="166" fontId="0" fillId="13" borderId="30" xfId="0" applyNumberFormat="1" applyFont="1" applyFill="1" applyBorder="1" applyAlignment="1" applyProtection="1">
      <alignment horizontal="center" vertical="center"/>
      <protection locked="0"/>
    </xf>
    <xf numFmtId="167" fontId="0" fillId="13" borderId="30" xfId="0" applyNumberFormat="1" applyFont="1" applyFill="1" applyBorder="1" applyAlignment="1" applyProtection="1">
      <alignment horizontal="center" vertical="center"/>
      <protection locked="0"/>
    </xf>
    <xf numFmtId="189" fontId="0" fillId="13" borderId="30" xfId="0" applyNumberFormat="1" applyFont="1" applyFill="1" applyBorder="1" applyAlignment="1" applyProtection="1">
      <alignment horizontal="center" vertical="center"/>
      <protection locked="0"/>
    </xf>
    <xf numFmtId="191" fontId="0" fillId="13" borderId="30" xfId="0" applyNumberFormat="1" applyFont="1" applyFill="1" applyBorder="1" applyAlignment="1" applyProtection="1">
      <alignment horizontal="center" vertical="center"/>
      <protection locked="0"/>
    </xf>
    <xf numFmtId="189" fontId="0" fillId="13" borderId="58" xfId="0" applyNumberFormat="1" applyFont="1" applyFill="1" applyBorder="1" applyAlignment="1" applyProtection="1">
      <alignment horizontal="center" vertical="center"/>
      <protection locked="0"/>
    </xf>
    <xf numFmtId="174" fontId="0" fillId="13" borderId="30" xfId="0" applyNumberFormat="1" applyFont="1" applyFill="1" applyBorder="1" applyAlignment="1" applyProtection="1">
      <alignment horizontal="center" vertical="center"/>
      <protection locked="0"/>
    </xf>
    <xf numFmtId="174" fontId="0" fillId="13" borderId="47" xfId="0" applyNumberFormat="1" applyFont="1" applyFill="1" applyBorder="1" applyAlignment="1" applyProtection="1">
      <alignment horizontal="center" vertical="center"/>
      <protection locked="0"/>
    </xf>
    <xf numFmtId="0" fontId="0" fillId="0" borderId="0" xfId="0" applyProtection="1"/>
    <xf numFmtId="170" fontId="0" fillId="0" borderId="0" xfId="0" applyNumberFormat="1" applyProtection="1"/>
    <xf numFmtId="0" fontId="22" fillId="0" borderId="0" xfId="0" applyFont="1" applyFill="1" applyAlignment="1" applyProtection="1">
      <alignment horizontal="center"/>
    </xf>
    <xf numFmtId="0" fontId="25" fillId="8" borderId="50" xfId="0" applyFont="1" applyFill="1" applyBorder="1" applyAlignment="1" applyProtection="1">
      <alignment vertical="center" wrapText="1"/>
    </xf>
    <xf numFmtId="1" fontId="24" fillId="10" borderId="43" xfId="0" applyNumberFormat="1" applyFont="1" applyFill="1" applyBorder="1" applyAlignment="1" applyProtection="1">
      <alignment horizontal="center" vertical="center" wrapText="1"/>
    </xf>
    <xf numFmtId="0" fontId="23" fillId="10" borderId="0" xfId="0" applyFont="1" applyFill="1" applyAlignment="1" applyProtection="1">
      <alignment horizontal="center" vertical="center" wrapText="1"/>
    </xf>
    <xf numFmtId="0" fontId="23" fillId="10" borderId="0" xfId="0" applyNumberFormat="1" applyFont="1" applyFill="1" applyAlignment="1" applyProtection="1">
      <alignment horizontal="center" vertical="center" wrapText="1"/>
    </xf>
    <xf numFmtId="0" fontId="1" fillId="9" borderId="45" xfId="0" applyFont="1" applyFill="1" applyBorder="1" applyAlignment="1" applyProtection="1">
      <alignment horizontal="center"/>
    </xf>
    <xf numFmtId="0" fontId="25" fillId="8" borderId="53" xfId="0" applyFont="1" applyFill="1" applyBorder="1" applyAlignment="1" applyProtection="1">
      <alignment vertical="center" wrapText="1"/>
    </xf>
    <xf numFmtId="0" fontId="13" fillId="0" borderId="0" xfId="0" applyFont="1" applyFill="1" applyBorder="1" applyAlignment="1" applyProtection="1">
      <alignment horizontal="center" vertical="top" wrapText="1"/>
    </xf>
    <xf numFmtId="0" fontId="0" fillId="0" borderId="0" xfId="0" applyBorder="1" applyProtection="1"/>
    <xf numFmtId="0" fontId="0" fillId="0" borderId="19" xfId="0" applyBorder="1" applyProtection="1"/>
    <xf numFmtId="11" fontId="0" fillId="0" borderId="39" xfId="0" applyNumberFormat="1" applyBorder="1" applyProtection="1"/>
    <xf numFmtId="0" fontId="0" fillId="0" borderId="41" xfId="0" applyBorder="1" applyProtection="1"/>
    <xf numFmtId="0" fontId="0" fillId="0" borderId="47" xfId="0" applyBorder="1" applyProtection="1"/>
    <xf numFmtId="172" fontId="0" fillId="0" borderId="39" xfId="0" applyNumberFormat="1" applyBorder="1" applyProtection="1"/>
    <xf numFmtId="0" fontId="0" fillId="9" borderId="46" xfId="0" applyFill="1" applyBorder="1" applyAlignment="1" applyProtection="1">
      <alignment horizontal="center"/>
    </xf>
    <xf numFmtId="11" fontId="0" fillId="0" borderId="19" xfId="0" applyNumberFormat="1" applyBorder="1" applyProtection="1"/>
    <xf numFmtId="0" fontId="1" fillId="0" borderId="2" xfId="0" applyFont="1" applyBorder="1" applyProtection="1"/>
    <xf numFmtId="0" fontId="1" fillId="0" borderId="46" xfId="0" applyFont="1" applyBorder="1" applyProtection="1"/>
    <xf numFmtId="0" fontId="0" fillId="0" borderId="32" xfId="0" applyBorder="1" applyProtection="1"/>
    <xf numFmtId="0" fontId="0" fillId="0" borderId="23" xfId="0" applyBorder="1" applyProtection="1"/>
    <xf numFmtId="0" fontId="22" fillId="11" borderId="59" xfId="0" applyFont="1" applyFill="1" applyBorder="1" applyAlignment="1" applyProtection="1">
      <alignment horizontal="center"/>
    </xf>
    <xf numFmtId="0" fontId="0" fillId="0" borderId="2" xfId="0" applyBorder="1" applyProtection="1"/>
    <xf numFmtId="0" fontId="0" fillId="0" borderId="46" xfId="0" applyBorder="1" applyProtection="1"/>
    <xf numFmtId="175" fontId="0" fillId="0" borderId="39" xfId="0" applyNumberFormat="1" applyBorder="1" applyProtection="1"/>
    <xf numFmtId="0" fontId="0" fillId="0" borderId="24" xfId="0" quotePrefix="1" applyBorder="1" applyProtection="1"/>
    <xf numFmtId="0" fontId="0" fillId="0" borderId="36" xfId="0" applyBorder="1" applyProtection="1"/>
    <xf numFmtId="0" fontId="29" fillId="0" borderId="0" xfId="0" applyNumberFormat="1" applyFont="1" applyBorder="1" applyAlignment="1" applyProtection="1">
      <alignment horizontal="center"/>
    </xf>
    <xf numFmtId="0" fontId="0" fillId="0" borderId="39" xfId="0" applyBorder="1" applyProtection="1"/>
    <xf numFmtId="0" fontId="0" fillId="0" borderId="19" xfId="0" applyFill="1" applyBorder="1" applyProtection="1"/>
    <xf numFmtId="11" fontId="0" fillId="0" borderId="39" xfId="0" applyNumberFormat="1" applyFill="1" applyBorder="1" applyProtection="1"/>
    <xf numFmtId="11" fontId="0" fillId="0" borderId="19" xfId="0" applyNumberFormat="1" applyFill="1" applyBorder="1" applyProtection="1"/>
    <xf numFmtId="183" fontId="0" fillId="0" borderId="39" xfId="0" applyNumberFormat="1" applyBorder="1" applyProtection="1"/>
    <xf numFmtId="0" fontId="0" fillId="0" borderId="41" xfId="0" applyFont="1" applyFill="1" applyBorder="1" applyAlignment="1" applyProtection="1">
      <alignment horizontal="left" vertical="center"/>
    </xf>
    <xf numFmtId="175" fontId="0" fillId="0" borderId="39" xfId="0" applyNumberFormat="1" applyBorder="1" applyAlignment="1" applyProtection="1"/>
    <xf numFmtId="0" fontId="0" fillId="0" borderId="5" xfId="0" applyFill="1" applyBorder="1" applyProtection="1"/>
    <xf numFmtId="175" fontId="0" fillId="0" borderId="36" xfId="0" applyNumberFormat="1" applyBorder="1" applyProtection="1"/>
    <xf numFmtId="0" fontId="25" fillId="8" borderId="55" xfId="0" applyFont="1" applyFill="1" applyBorder="1" applyAlignment="1" applyProtection="1">
      <alignment vertical="center" wrapText="1"/>
    </xf>
    <xf numFmtId="0" fontId="0" fillId="0" borderId="2" xfId="0" applyFont="1" applyFill="1" applyBorder="1" applyAlignment="1" applyProtection="1">
      <alignment horizontal="left" vertical="center"/>
    </xf>
    <xf numFmtId="0" fontId="0" fillId="0" borderId="0" xfId="0" applyBorder="1" applyAlignment="1" applyProtection="1">
      <alignment horizontal="center"/>
    </xf>
    <xf numFmtId="0" fontId="25" fillId="8" borderId="51" xfId="0" applyFont="1" applyFill="1" applyBorder="1" applyAlignment="1" applyProtection="1">
      <alignment vertical="center" wrapText="1"/>
    </xf>
    <xf numFmtId="0" fontId="29" fillId="0" borderId="0" xfId="0" applyFont="1" applyBorder="1" applyAlignment="1" applyProtection="1">
      <alignment horizontal="center"/>
    </xf>
    <xf numFmtId="0" fontId="0" fillId="0" borderId="24" xfId="0" applyFill="1" applyBorder="1" applyProtection="1"/>
    <xf numFmtId="11" fontId="0" fillId="0" borderId="36" xfId="0" applyNumberFormat="1" applyFill="1" applyBorder="1" applyProtection="1"/>
    <xf numFmtId="11" fontId="0" fillId="0" borderId="24" xfId="0" applyNumberFormat="1" applyFill="1" applyBorder="1" applyProtection="1"/>
    <xf numFmtId="10" fontId="13" fillId="0" borderId="39" xfId="0" applyNumberFormat="1" applyFont="1" applyFill="1" applyBorder="1" applyProtection="1"/>
    <xf numFmtId="175" fontId="0" fillId="0" borderId="0" xfId="0" applyNumberFormat="1" applyBorder="1" applyProtection="1"/>
    <xf numFmtId="0" fontId="25" fillId="8" borderId="49" xfId="0" applyFont="1" applyFill="1" applyBorder="1" applyAlignment="1" applyProtection="1">
      <alignment vertical="center" wrapText="1"/>
    </xf>
    <xf numFmtId="0" fontId="0" fillId="0" borderId="69" xfId="0" applyFont="1" applyFill="1" applyBorder="1" applyAlignment="1" applyProtection="1">
      <alignment horizontal="left" vertical="center" wrapText="1"/>
    </xf>
    <xf numFmtId="0" fontId="0" fillId="0" borderId="0" xfId="0" applyFill="1" applyProtection="1"/>
    <xf numFmtId="0" fontId="0" fillId="0" borderId="24" xfId="0" applyBorder="1" applyProtection="1"/>
    <xf numFmtId="181" fontId="0" fillId="0" borderId="36" xfId="0" applyNumberFormat="1" applyBorder="1" applyProtection="1"/>
    <xf numFmtId="10" fontId="0" fillId="0" borderId="36" xfId="0" applyNumberFormat="1" applyFill="1" applyBorder="1" applyProtection="1"/>
    <xf numFmtId="0" fontId="0" fillId="0" borderId="32" xfId="0" applyFill="1" applyBorder="1" applyProtection="1"/>
    <xf numFmtId="0" fontId="25" fillId="8" borderId="56" xfId="0" applyFont="1" applyFill="1" applyBorder="1" applyAlignment="1" applyProtection="1">
      <alignment vertical="center" wrapText="1"/>
    </xf>
    <xf numFmtId="0" fontId="0" fillId="0" borderId="24" xfId="0" applyBorder="1" applyAlignment="1" applyProtection="1"/>
    <xf numFmtId="193" fontId="0" fillId="0" borderId="36" xfId="0" applyNumberFormat="1" applyBorder="1" applyProtection="1"/>
    <xf numFmtId="0" fontId="0" fillId="0" borderId="0" xfId="0" applyAlignment="1" applyProtection="1"/>
    <xf numFmtId="0" fontId="10" fillId="0" borderId="0" xfId="0" applyFont="1" applyProtection="1"/>
    <xf numFmtId="0" fontId="13" fillId="0" borderId="0" xfId="0" applyFont="1" applyAlignment="1" applyProtection="1">
      <alignment horizontal="left"/>
    </xf>
    <xf numFmtId="0" fontId="1" fillId="9" borderId="32" xfId="0" applyFont="1" applyFill="1" applyBorder="1" applyAlignment="1" applyProtection="1">
      <alignment horizontal="center"/>
    </xf>
    <xf numFmtId="0" fontId="1" fillId="9" borderId="23" xfId="0" applyFont="1" applyFill="1" applyBorder="1" applyAlignment="1" applyProtection="1">
      <alignment horizontal="center"/>
    </xf>
    <xf numFmtId="0" fontId="23" fillId="10" borderId="43" xfId="0" applyFont="1" applyFill="1" applyBorder="1" applyAlignment="1" applyProtection="1">
      <alignment horizontal="center" vertical="center" wrapText="1"/>
    </xf>
    <xf numFmtId="1" fontId="23" fillId="10" borderId="43" xfId="0" applyNumberFormat="1" applyFont="1" applyFill="1" applyBorder="1" applyAlignment="1" applyProtection="1">
      <alignment horizontal="center" vertical="center" wrapText="1"/>
    </xf>
    <xf numFmtId="0" fontId="0" fillId="0" borderId="2" xfId="0" applyFont="1" applyBorder="1" applyProtection="1"/>
    <xf numFmtId="0" fontId="0" fillId="0" borderId="46" xfId="0" applyFont="1" applyBorder="1" applyProtection="1"/>
    <xf numFmtId="0" fontId="0" fillId="7" borderId="66" xfId="0" applyFont="1" applyFill="1" applyBorder="1" applyAlignment="1" applyProtection="1">
      <alignment horizontal="left" vertical="center" indent="1"/>
    </xf>
    <xf numFmtId="196" fontId="0" fillId="5" borderId="40" xfId="0" applyNumberFormat="1" applyFont="1" applyFill="1" applyBorder="1" applyAlignment="1" applyProtection="1">
      <alignment horizontal="left" vertical="center" indent="1"/>
    </xf>
    <xf numFmtId="169" fontId="0" fillId="7" borderId="48" xfId="0" applyNumberFormat="1" applyFont="1" applyFill="1" applyBorder="1" applyAlignment="1" applyProtection="1">
      <alignment horizontal="center" vertical="center"/>
    </xf>
    <xf numFmtId="169" fontId="0" fillId="0" borderId="48" xfId="0" applyNumberFormat="1" applyFont="1" applyFill="1" applyBorder="1" applyAlignment="1" applyProtection="1">
      <alignment horizontal="center" vertical="center"/>
    </xf>
    <xf numFmtId="0" fontId="0" fillId="0" borderId="35" xfId="0" applyBorder="1" applyAlignment="1" applyProtection="1">
      <alignment horizontal="left" vertical="center"/>
    </xf>
    <xf numFmtId="0" fontId="0" fillId="0" borderId="0" xfId="0" applyBorder="1" applyAlignment="1" applyProtection="1">
      <alignment horizontal="left" vertical="center"/>
    </xf>
    <xf numFmtId="0" fontId="0" fillId="0" borderId="39" xfId="0" applyBorder="1" applyAlignment="1" applyProtection="1">
      <alignment horizontal="left" vertical="center"/>
    </xf>
    <xf numFmtId="0" fontId="33" fillId="10" borderId="43" xfId="0" applyFont="1" applyFill="1" applyBorder="1" applyAlignment="1" applyProtection="1">
      <alignment horizontal="center" vertical="center" wrapText="1"/>
    </xf>
    <xf numFmtId="1" fontId="33" fillId="10" borderId="43" xfId="0" applyNumberFormat="1" applyFont="1" applyFill="1" applyBorder="1" applyAlignment="1" applyProtection="1">
      <alignment horizontal="center" vertical="center" wrapText="1"/>
    </xf>
    <xf numFmtId="0" fontId="33" fillId="10" borderId="0" xfId="0" applyNumberFormat="1" applyFont="1" applyFill="1" applyAlignment="1" applyProtection="1">
      <alignment horizontal="center" vertical="center" wrapText="1"/>
    </xf>
    <xf numFmtId="0" fontId="1" fillId="12" borderId="15" xfId="0" applyFont="1" applyFill="1" applyBorder="1" applyAlignment="1" applyProtection="1">
      <alignment horizontal="left" vertical="center" indent="1"/>
    </xf>
    <xf numFmtId="0" fontId="0" fillId="12" borderId="3" xfId="0" applyFill="1" applyBorder="1" applyAlignment="1" applyProtection="1">
      <alignment horizontal="left" vertical="center" indent="1"/>
    </xf>
    <xf numFmtId="0" fontId="0" fillId="7" borderId="28" xfId="0" applyFont="1" applyFill="1" applyBorder="1" applyAlignment="1" applyProtection="1">
      <alignment horizontal="left" vertical="center" indent="1"/>
    </xf>
    <xf numFmtId="0" fontId="0" fillId="7" borderId="34" xfId="0" applyFont="1" applyFill="1" applyBorder="1" applyAlignment="1" applyProtection="1">
      <alignment horizontal="left" vertical="center" indent="1"/>
    </xf>
    <xf numFmtId="0" fontId="0" fillId="7" borderId="29" xfId="0" applyFont="1" applyFill="1" applyBorder="1" applyAlignment="1" applyProtection="1">
      <alignment horizontal="left" vertical="center" indent="1"/>
    </xf>
    <xf numFmtId="0" fontId="0" fillId="7" borderId="13" xfId="0" applyFont="1" applyFill="1" applyBorder="1" applyAlignment="1" applyProtection="1">
      <alignment horizontal="left" vertical="center" indent="1"/>
    </xf>
    <xf numFmtId="0" fontId="0" fillId="7" borderId="0" xfId="0" applyFont="1" applyFill="1" applyBorder="1" applyAlignment="1" applyProtection="1">
      <alignment horizontal="left" vertical="center" indent="1"/>
    </xf>
    <xf numFmtId="0" fontId="0" fillId="0" borderId="0" xfId="0" applyBorder="1" applyAlignment="1" applyProtection="1">
      <alignment horizontal="left"/>
    </xf>
    <xf numFmtId="0" fontId="0" fillId="7" borderId="41" xfId="0" applyFill="1" applyBorder="1" applyAlignment="1" applyProtection="1">
      <alignment horizontal="left" vertical="center" wrapText="1"/>
    </xf>
    <xf numFmtId="0" fontId="0" fillId="7" borderId="2" xfId="0" applyFill="1" applyBorder="1" applyAlignment="1" applyProtection="1">
      <alignment horizontal="left" vertical="center" wrapText="1"/>
    </xf>
    <xf numFmtId="0" fontId="0" fillId="7" borderId="69" xfId="0" applyFill="1" applyBorder="1" applyAlignment="1" applyProtection="1">
      <alignment horizontal="left" vertical="center" wrapText="1"/>
    </xf>
    <xf numFmtId="183" fontId="0" fillId="6" borderId="39" xfId="0" applyNumberFormat="1" applyFill="1" applyBorder="1" applyProtection="1"/>
    <xf numFmtId="0" fontId="0" fillId="0" borderId="0" xfId="0" applyFont="1" applyFill="1" applyBorder="1" applyProtection="1"/>
    <xf numFmtId="191" fontId="0" fillId="13" borderId="31" xfId="0" applyNumberFormat="1" applyFont="1" applyFill="1" applyBorder="1" applyAlignment="1" applyProtection="1">
      <alignment horizontal="center" vertical="center"/>
      <protection locked="0"/>
    </xf>
    <xf numFmtId="0" fontId="0" fillId="0" borderId="0" xfId="0" quotePrefix="1" applyProtection="1"/>
    <xf numFmtId="0" fontId="0" fillId="7" borderId="0" xfId="0" applyFill="1" applyBorder="1" applyAlignment="1" applyProtection="1">
      <alignment horizontal="left" vertical="center" wrapText="1"/>
    </xf>
    <xf numFmtId="1" fontId="1" fillId="7" borderId="0" xfId="0" applyNumberFormat="1" applyFont="1" applyFill="1" applyBorder="1" applyAlignment="1" applyProtection="1">
      <alignment horizontal="center" vertical="center"/>
    </xf>
    <xf numFmtId="0" fontId="0" fillId="7" borderId="0" xfId="0" applyFill="1" applyBorder="1" applyProtection="1"/>
    <xf numFmtId="10" fontId="1" fillId="7" borderId="0" xfId="0" applyNumberFormat="1" applyFont="1" applyFill="1" applyBorder="1" applyAlignment="1" applyProtection="1">
      <alignment horizontal="center" vertical="center" wrapText="1"/>
    </xf>
    <xf numFmtId="183" fontId="0" fillId="6" borderId="36" xfId="0" applyNumberFormat="1" applyFill="1" applyBorder="1" applyProtection="1"/>
    <xf numFmtId="166" fontId="1" fillId="7" borderId="0" xfId="0" applyNumberFormat="1" applyFont="1" applyFill="1" applyBorder="1" applyAlignment="1" applyProtection="1">
      <alignment horizontal="center" vertical="center"/>
    </xf>
    <xf numFmtId="0" fontId="0" fillId="12" borderId="32" xfId="0" applyFont="1" applyFill="1" applyBorder="1" applyAlignment="1" applyProtection="1">
      <alignment horizontal="left" vertical="center" indent="1"/>
    </xf>
    <xf numFmtId="1" fontId="0" fillId="5" borderId="64" xfId="0" applyNumberFormat="1" applyFont="1" applyFill="1" applyBorder="1" applyAlignment="1" applyProtection="1">
      <alignment horizontal="center" vertical="center"/>
    </xf>
    <xf numFmtId="0" fontId="0" fillId="12" borderId="32" xfId="0" applyFont="1" applyFill="1" applyBorder="1" applyAlignment="1" applyProtection="1">
      <alignment horizontal="center" vertical="center"/>
    </xf>
    <xf numFmtId="1" fontId="0" fillId="5" borderId="23" xfId="0" applyNumberFormat="1" applyFont="1" applyFill="1" applyBorder="1" applyAlignment="1" applyProtection="1">
      <alignment horizontal="center" vertical="center"/>
    </xf>
    <xf numFmtId="0" fontId="0" fillId="12" borderId="19" xfId="0" applyFont="1" applyFill="1" applyBorder="1" applyAlignment="1" applyProtection="1">
      <alignment horizontal="left" vertical="center" indent="1"/>
    </xf>
    <xf numFmtId="1" fontId="0" fillId="5" borderId="35" xfId="0" applyNumberFormat="1" applyFont="1" applyFill="1" applyBorder="1" applyAlignment="1" applyProtection="1">
      <alignment horizontal="center" vertical="center"/>
    </xf>
    <xf numFmtId="0" fontId="0" fillId="12" borderId="19" xfId="0" applyFont="1" applyFill="1" applyBorder="1" applyAlignment="1" applyProtection="1">
      <alignment horizontal="center" vertical="center"/>
    </xf>
    <xf numFmtId="1" fontId="0" fillId="5" borderId="39" xfId="0" applyNumberFormat="1" applyFont="1" applyFill="1" applyBorder="1" applyAlignment="1" applyProtection="1">
      <alignment horizontal="center" vertical="center"/>
    </xf>
    <xf numFmtId="194" fontId="0" fillId="0" borderId="39" xfId="3" applyNumberFormat="1" applyFont="1" applyBorder="1" applyProtection="1"/>
    <xf numFmtId="194" fontId="0" fillId="0" borderId="39" xfId="0" applyNumberFormat="1" applyBorder="1" applyProtection="1"/>
    <xf numFmtId="0" fontId="0" fillId="12" borderId="42" xfId="0" applyFont="1" applyFill="1" applyBorder="1" applyAlignment="1" applyProtection="1">
      <alignment horizontal="center" vertical="center"/>
    </xf>
    <xf numFmtId="194" fontId="0" fillId="6" borderId="39" xfId="0" applyNumberFormat="1" applyFill="1" applyBorder="1" applyProtection="1"/>
    <xf numFmtId="1" fontId="0" fillId="5" borderId="30" xfId="0" applyNumberFormat="1" applyFont="1" applyFill="1" applyBorder="1" applyAlignment="1" applyProtection="1">
      <alignment horizontal="center" vertical="center"/>
    </xf>
    <xf numFmtId="1" fontId="0" fillId="5" borderId="47" xfId="0" applyNumberFormat="1" applyFont="1" applyFill="1" applyBorder="1" applyAlignment="1" applyProtection="1">
      <alignment horizontal="center" vertical="center"/>
    </xf>
    <xf numFmtId="0" fontId="0" fillId="12" borderId="24" xfId="0" applyFont="1" applyFill="1" applyBorder="1" applyAlignment="1" applyProtection="1">
      <alignment horizontal="left" vertical="center" indent="1"/>
    </xf>
    <xf numFmtId="1" fontId="0" fillId="5" borderId="44" xfId="0" applyNumberFormat="1" applyFont="1" applyFill="1" applyBorder="1" applyAlignment="1" applyProtection="1">
      <alignment horizontal="center" vertical="center"/>
    </xf>
    <xf numFmtId="0" fontId="0" fillId="12" borderId="29" xfId="0" applyFont="1" applyFill="1" applyBorder="1" applyAlignment="1" applyProtection="1">
      <alignment horizontal="center" vertical="center"/>
    </xf>
    <xf numFmtId="0" fontId="0" fillId="12" borderId="36" xfId="0" applyFont="1" applyFill="1" applyBorder="1" applyAlignment="1" applyProtection="1">
      <alignment horizontal="center" vertical="center"/>
    </xf>
    <xf numFmtId="1" fontId="0" fillId="5" borderId="36" xfId="0" applyNumberFormat="1" applyFont="1" applyFill="1" applyBorder="1" applyAlignment="1" applyProtection="1">
      <alignment horizontal="center" vertical="center"/>
    </xf>
    <xf numFmtId="0" fontId="1" fillId="12" borderId="3" xfId="0" applyFont="1" applyFill="1" applyBorder="1" applyAlignment="1" applyProtection="1">
      <alignment horizontal="left" vertical="center" indent="1"/>
    </xf>
    <xf numFmtId="0" fontId="1" fillId="12" borderId="71" xfId="0" applyFont="1" applyFill="1" applyBorder="1" applyAlignment="1" applyProtection="1">
      <alignment horizontal="center" vertical="center"/>
    </xf>
    <xf numFmtId="2" fontId="13" fillId="12" borderId="32" xfId="0" applyNumberFormat="1" applyFont="1" applyFill="1" applyBorder="1" applyAlignment="1" applyProtection="1">
      <alignment horizontal="left" vertical="center" indent="1"/>
    </xf>
    <xf numFmtId="2" fontId="13" fillId="12" borderId="22" xfId="0" applyNumberFormat="1" applyFont="1" applyFill="1" applyBorder="1" applyAlignment="1" applyProtection="1">
      <alignment horizontal="left" vertical="center" indent="1"/>
    </xf>
    <xf numFmtId="194" fontId="0" fillId="6" borderId="36" xfId="0" applyNumberFormat="1" applyFill="1" applyBorder="1" applyProtection="1"/>
    <xf numFmtId="2" fontId="13" fillId="12" borderId="19" xfId="0" applyNumberFormat="1" applyFont="1" applyFill="1" applyBorder="1" applyAlignment="1" applyProtection="1">
      <alignment horizontal="left" vertical="center" indent="1"/>
    </xf>
    <xf numFmtId="2" fontId="13" fillId="12" borderId="0" xfId="0" applyNumberFormat="1" applyFont="1" applyFill="1" applyBorder="1" applyAlignment="1" applyProtection="1">
      <alignment horizontal="left" vertical="center" indent="1"/>
    </xf>
    <xf numFmtId="2" fontId="13" fillId="12" borderId="42" xfId="0" applyNumberFormat="1" applyFont="1" applyFill="1" applyBorder="1" applyAlignment="1" applyProtection="1">
      <alignment horizontal="left" vertical="center" indent="1"/>
    </xf>
    <xf numFmtId="2" fontId="13" fillId="12" borderId="24" xfId="0" applyNumberFormat="1" applyFont="1" applyFill="1" applyBorder="1" applyAlignment="1" applyProtection="1">
      <alignment horizontal="left" vertical="center" indent="1"/>
    </xf>
    <xf numFmtId="2" fontId="13" fillId="12" borderId="5" xfId="0" applyNumberFormat="1" applyFont="1" applyFill="1" applyBorder="1" applyAlignment="1" applyProtection="1">
      <alignment horizontal="left" vertical="center" indent="1"/>
    </xf>
    <xf numFmtId="194" fontId="0" fillId="0" borderId="36" xfId="0" applyNumberFormat="1" applyBorder="1" applyProtection="1"/>
    <xf numFmtId="1" fontId="0" fillId="7" borderId="0" xfId="0" applyNumberFormat="1" applyFill="1" applyBorder="1" applyProtection="1"/>
    <xf numFmtId="1" fontId="0" fillId="7" borderId="0" xfId="0" applyNumberFormat="1" applyFont="1" applyFill="1" applyBorder="1" applyProtection="1"/>
    <xf numFmtId="2" fontId="1" fillId="7" borderId="0" xfId="0" applyNumberFormat="1" applyFont="1" applyFill="1" applyBorder="1" applyProtection="1"/>
    <xf numFmtId="0" fontId="25" fillId="8" borderId="52" xfId="0" applyFont="1" applyFill="1" applyBorder="1" applyAlignment="1" applyProtection="1">
      <alignment vertical="center" wrapText="1"/>
    </xf>
    <xf numFmtId="0" fontId="25" fillId="8" borderId="54" xfId="0" applyFont="1" applyFill="1" applyBorder="1" applyAlignment="1" applyProtection="1">
      <alignment vertical="center" wrapText="1"/>
    </xf>
    <xf numFmtId="0" fontId="25" fillId="8" borderId="57" xfId="0" applyFont="1" applyFill="1" applyBorder="1" applyAlignment="1" applyProtection="1">
      <alignment vertical="center" wrapText="1"/>
    </xf>
    <xf numFmtId="166" fontId="13" fillId="5" borderId="58" xfId="0" applyNumberFormat="1" applyFont="1" applyFill="1" applyBorder="1" applyAlignment="1" applyProtection="1">
      <alignment horizontal="center" vertical="center"/>
    </xf>
    <xf numFmtId="169" fontId="13" fillId="5" borderId="47" xfId="0" applyNumberFormat="1" applyFont="1" applyFill="1" applyBorder="1" applyAlignment="1" applyProtection="1">
      <alignment horizontal="center" vertical="center"/>
    </xf>
    <xf numFmtId="1" fontId="0" fillId="4" borderId="48" xfId="0" applyNumberFormat="1" applyFont="1" applyFill="1" applyBorder="1" applyAlignment="1" applyProtection="1">
      <alignment horizontal="center" vertical="center"/>
    </xf>
    <xf numFmtId="0" fontId="0" fillId="0" borderId="0" xfId="0" applyFont="1" applyBorder="1" applyAlignment="1" applyProtection="1">
      <alignment vertical="center"/>
    </xf>
    <xf numFmtId="0" fontId="0" fillId="0" borderId="25" xfId="0" applyFont="1" applyBorder="1" applyAlignment="1" applyProtection="1">
      <alignment vertical="center"/>
    </xf>
    <xf numFmtId="0" fontId="0" fillId="0" borderId="0" xfId="0" applyProtection="1">
      <protection hidden="1"/>
    </xf>
    <xf numFmtId="0" fontId="1" fillId="0" borderId="0" xfId="0" applyFont="1" applyFill="1" applyAlignment="1" applyProtection="1">
      <alignment horizontal="right"/>
      <protection hidden="1"/>
    </xf>
    <xf numFmtId="0" fontId="0" fillId="0" borderId="0" xfId="0" applyFill="1" applyProtection="1">
      <protection hidden="1"/>
    </xf>
    <xf numFmtId="0" fontId="39" fillId="0" borderId="0" xfId="0" applyFont="1" applyFill="1" applyProtection="1">
      <protection hidden="1"/>
    </xf>
    <xf numFmtId="0" fontId="34" fillId="0" borderId="0" xfId="0" applyFont="1" applyFill="1" applyProtection="1">
      <protection hidden="1"/>
    </xf>
    <xf numFmtId="0" fontId="3" fillId="0" borderId="0" xfId="0" applyFont="1" applyFill="1" applyBorder="1" applyAlignment="1" applyProtection="1">
      <protection hidden="1"/>
    </xf>
    <xf numFmtId="0" fontId="0" fillId="0" borderId="0" xfId="0" applyFill="1" applyBorder="1" applyProtection="1">
      <protection hidden="1"/>
    </xf>
    <xf numFmtId="0" fontId="3" fillId="0" borderId="0" xfId="0" applyFont="1" applyFill="1" applyBorder="1" applyAlignment="1" applyProtection="1">
      <alignment horizontal="right"/>
      <protection hidden="1"/>
    </xf>
    <xf numFmtId="0" fontId="1" fillId="0" borderId="0" xfId="0" applyFont="1" applyFill="1" applyBorder="1" applyProtection="1">
      <protection hidden="1"/>
    </xf>
    <xf numFmtId="0" fontId="0" fillId="0" borderId="0" xfId="0" applyFont="1" applyFill="1" applyBorder="1" applyProtection="1">
      <protection hidden="1"/>
    </xf>
    <xf numFmtId="0" fontId="1" fillId="0" borderId="0" xfId="0" applyFont="1" applyFill="1" applyBorder="1" applyAlignment="1" applyProtection="1">
      <alignment horizontal="right"/>
      <protection hidden="1"/>
    </xf>
    <xf numFmtId="0" fontId="17" fillId="0" borderId="6" xfId="1" applyFont="1" applyFill="1" applyBorder="1" applyAlignment="1" applyProtection="1">
      <alignment horizontal="left" indent="1"/>
      <protection hidden="1"/>
    </xf>
    <xf numFmtId="0" fontId="17" fillId="0" borderId="34" xfId="1" applyFont="1" applyFill="1" applyBorder="1" applyAlignment="1" applyProtection="1">
      <alignment horizontal="left" indent="1"/>
      <protection hidden="1"/>
    </xf>
    <xf numFmtId="0" fontId="17" fillId="0" borderId="37" xfId="1" applyFont="1" applyFill="1" applyBorder="1" applyAlignment="1" applyProtection="1">
      <protection hidden="1"/>
    </xf>
    <xf numFmtId="0" fontId="0" fillId="0" borderId="34" xfId="0" applyFont="1" applyFill="1" applyBorder="1" applyAlignment="1" applyProtection="1">
      <alignment horizontal="left" indent="1"/>
      <protection hidden="1"/>
    </xf>
    <xf numFmtId="0" fontId="6" fillId="0" borderId="34" xfId="0" applyFont="1" applyFill="1" applyBorder="1" applyAlignment="1" applyProtection="1">
      <protection hidden="1"/>
    </xf>
    <xf numFmtId="0" fontId="6" fillId="0" borderId="37" xfId="0" applyFont="1" applyFill="1" applyBorder="1" applyAlignment="1" applyProtection="1">
      <protection hidden="1"/>
    </xf>
    <xf numFmtId="0" fontId="6" fillId="0" borderId="0" xfId="0" applyFont="1" applyFill="1" applyBorder="1" applyAlignment="1" applyProtection="1">
      <protection hidden="1"/>
    </xf>
    <xf numFmtId="0" fontId="35" fillId="0" borderId="0" xfId="0" applyFont="1" applyFill="1" applyBorder="1" applyAlignment="1" applyProtection="1">
      <alignment vertical="center" wrapText="1"/>
      <protection hidden="1"/>
    </xf>
    <xf numFmtId="0" fontId="17" fillId="0" borderId="35" xfId="0" applyFont="1" applyFill="1" applyBorder="1" applyAlignment="1" applyProtection="1">
      <alignment horizontal="left" indent="1"/>
      <protection hidden="1"/>
    </xf>
    <xf numFmtId="0" fontId="17" fillId="0" borderId="0" xfId="0" applyFont="1" applyFill="1" applyBorder="1" applyAlignment="1" applyProtection="1">
      <alignment horizontal="left" indent="1"/>
      <protection hidden="1"/>
    </xf>
    <xf numFmtId="0" fontId="17" fillId="0" borderId="25" xfId="0" applyFont="1" applyFill="1" applyBorder="1" applyAlignment="1" applyProtection="1">
      <protection hidden="1"/>
    </xf>
    <xf numFmtId="0" fontId="0" fillId="0" borderId="0" xfId="0" applyFont="1" applyFill="1" applyBorder="1" applyAlignment="1" applyProtection="1">
      <alignment horizontal="left" indent="1"/>
      <protection hidden="1"/>
    </xf>
    <xf numFmtId="0" fontId="6" fillId="0" borderId="0" xfId="0" applyFont="1" applyFill="1" applyBorder="1" applyProtection="1">
      <protection hidden="1"/>
    </xf>
    <xf numFmtId="0" fontId="6" fillId="0" borderId="25" xfId="0" applyFont="1" applyFill="1" applyBorder="1" applyProtection="1">
      <protection hidden="1"/>
    </xf>
    <xf numFmtId="0" fontId="0" fillId="0" borderId="6" xfId="1" applyFont="1" applyFill="1" applyBorder="1" applyAlignment="1" applyProtection="1">
      <alignment horizontal="left" indent="1"/>
      <protection hidden="1"/>
    </xf>
    <xf numFmtId="0" fontId="0" fillId="0" borderId="6" xfId="0" applyFont="1" applyFill="1" applyBorder="1" applyAlignment="1" applyProtection="1">
      <alignment horizontal="left" vertical="center" indent="1"/>
      <protection hidden="1"/>
    </xf>
    <xf numFmtId="0" fontId="0" fillId="0" borderId="37" xfId="0" applyFont="1" applyFill="1" applyBorder="1" applyAlignment="1" applyProtection="1">
      <alignment horizontal="left" vertical="center" indent="1"/>
      <protection hidden="1"/>
    </xf>
    <xf numFmtId="0" fontId="0" fillId="0" borderId="6" xfId="0" applyBorder="1" applyAlignment="1" applyProtection="1">
      <alignment horizontal="left" vertical="center" indent="1"/>
      <protection hidden="1"/>
    </xf>
    <xf numFmtId="0" fontId="0" fillId="0" borderId="34" xfId="0" applyBorder="1" applyAlignment="1" applyProtection="1">
      <alignment horizontal="left" vertical="center" indent="1"/>
      <protection hidden="1"/>
    </xf>
    <xf numFmtId="0" fontId="6" fillId="0" borderId="34" xfId="0" applyFont="1" applyFill="1" applyBorder="1" applyAlignment="1" applyProtection="1">
      <alignment horizontal="left" vertical="center" indent="1"/>
      <protection hidden="1"/>
    </xf>
    <xf numFmtId="0" fontId="6" fillId="0" borderId="37" xfId="0" applyFont="1" applyFill="1" applyBorder="1" applyAlignment="1" applyProtection="1">
      <alignment horizontal="left" vertical="center" indent="1"/>
      <protection hidden="1"/>
    </xf>
    <xf numFmtId="0" fontId="0" fillId="0" borderId="6" xfId="0" applyFont="1" applyFill="1" applyBorder="1" applyAlignment="1" applyProtection="1">
      <alignment horizontal="left" indent="1"/>
      <protection hidden="1"/>
    </xf>
    <xf numFmtId="0" fontId="17" fillId="0" borderId="34" xfId="0" applyFont="1" applyFill="1" applyBorder="1" applyAlignment="1" applyProtection="1">
      <alignment horizontal="left" indent="1"/>
      <protection hidden="1"/>
    </xf>
    <xf numFmtId="0" fontId="17" fillId="0" borderId="37" xfId="0" applyFont="1" applyFill="1" applyBorder="1" applyAlignment="1" applyProtection="1">
      <protection hidden="1"/>
    </xf>
    <xf numFmtId="0" fontId="6" fillId="0" borderId="34" xfId="0" applyFont="1" applyFill="1" applyBorder="1" applyProtection="1">
      <protection hidden="1"/>
    </xf>
    <xf numFmtId="0" fontId="6" fillId="0" borderId="37" xfId="0" applyFont="1" applyFill="1" applyBorder="1" applyProtection="1">
      <protection hidden="1"/>
    </xf>
    <xf numFmtId="0" fontId="0" fillId="0" borderId="35" xfId="0" applyFont="1" applyFill="1" applyBorder="1" applyAlignment="1" applyProtection="1">
      <alignment horizontal="left" indent="1"/>
      <protection hidden="1"/>
    </xf>
    <xf numFmtId="0" fontId="17" fillId="0" borderId="6" xfId="1" quotePrefix="1" applyFont="1" applyFill="1" applyBorder="1" applyAlignment="1" applyProtection="1">
      <alignment horizontal="left" indent="1"/>
      <protection hidden="1"/>
    </xf>
    <xf numFmtId="0" fontId="17" fillId="0" borderId="65" xfId="0" applyFont="1" applyFill="1" applyBorder="1" applyAlignment="1" applyProtection="1">
      <alignment horizontal="left" indent="1"/>
      <protection hidden="1"/>
    </xf>
    <xf numFmtId="0" fontId="17" fillId="0" borderId="18" xfId="0" applyFont="1" applyFill="1" applyBorder="1" applyAlignment="1" applyProtection="1">
      <alignment horizontal="left" indent="1"/>
      <protection hidden="1"/>
    </xf>
    <xf numFmtId="0" fontId="17" fillId="0" borderId="20" xfId="0" applyFont="1" applyFill="1" applyBorder="1" applyAlignment="1" applyProtection="1">
      <protection hidden="1"/>
    </xf>
    <xf numFmtId="0" fontId="0" fillId="0" borderId="18" xfId="0" applyFont="1" applyFill="1" applyBorder="1" applyAlignment="1" applyProtection="1">
      <alignment horizontal="left" indent="1"/>
      <protection hidden="1"/>
    </xf>
    <xf numFmtId="0" fontId="0" fillId="0" borderId="18" xfId="0" applyFont="1" applyFill="1" applyBorder="1" applyProtection="1">
      <protection hidden="1"/>
    </xf>
    <xf numFmtId="0" fontId="17" fillId="0" borderId="6" xfId="0" applyFont="1" applyFill="1" applyBorder="1" applyAlignment="1" applyProtection="1">
      <alignment horizontal="left" indent="1"/>
      <protection hidden="1"/>
    </xf>
    <xf numFmtId="0" fontId="0" fillId="0" borderId="34" xfId="0" applyFill="1" applyBorder="1" applyProtection="1">
      <protection hidden="1"/>
    </xf>
    <xf numFmtId="0" fontId="0" fillId="0" borderId="37" xfId="0" applyFill="1" applyBorder="1" applyProtection="1">
      <protection hidden="1"/>
    </xf>
    <xf numFmtId="0" fontId="0" fillId="0" borderId="0" xfId="0" applyFont="1" applyBorder="1" applyProtection="1">
      <protection hidden="1"/>
    </xf>
    <xf numFmtId="0" fontId="0" fillId="0" borderId="0" xfId="0" applyBorder="1" applyProtection="1">
      <protection hidden="1"/>
    </xf>
    <xf numFmtId="0" fontId="6" fillId="0" borderId="0" xfId="0" applyFont="1" applyFill="1" applyBorder="1" applyAlignment="1" applyProtection="1">
      <alignment wrapText="1"/>
      <protection hidden="1"/>
    </xf>
    <xf numFmtId="0" fontId="3" fillId="0" borderId="0" xfId="0" applyFont="1" applyFill="1" applyBorder="1" applyAlignment="1" applyProtection="1">
      <alignment horizontal="right" wrapText="1"/>
      <protection hidden="1"/>
    </xf>
    <xf numFmtId="0" fontId="6" fillId="0" borderId="0" xfId="0" applyFont="1" applyFill="1" applyAlignment="1" applyProtection="1">
      <alignment wrapText="1"/>
      <protection hidden="1"/>
    </xf>
    <xf numFmtId="0" fontId="1" fillId="0" borderId="0" xfId="0" applyFont="1" applyFill="1" applyBorder="1" applyAlignment="1" applyProtection="1">
      <protection hidden="1"/>
    </xf>
    <xf numFmtId="0" fontId="6" fillId="0" borderId="0" xfId="0" applyFont="1" applyBorder="1" applyProtection="1">
      <protection hidden="1"/>
    </xf>
    <xf numFmtId="0" fontId="0" fillId="0" borderId="0" xfId="0" applyFont="1" applyFill="1" applyBorder="1" applyAlignment="1" applyProtection="1">
      <alignment horizontal="left"/>
      <protection hidden="1"/>
    </xf>
    <xf numFmtId="0" fontId="0" fillId="0" borderId="18" xfId="0" applyFont="1" applyFill="1" applyBorder="1" applyAlignment="1" applyProtection="1">
      <alignment horizontal="left" vertical="center" indent="1"/>
      <protection hidden="1"/>
    </xf>
    <xf numFmtId="0" fontId="6" fillId="0" borderId="0" xfId="0" applyFont="1" applyFill="1" applyAlignment="1" applyProtection="1">
      <protection hidden="1"/>
    </xf>
    <xf numFmtId="0" fontId="1" fillId="0" borderId="0" xfId="0" applyFont="1" applyAlignment="1" applyProtection="1">
      <alignment horizontal="right"/>
      <protection hidden="1"/>
    </xf>
    <xf numFmtId="0" fontId="35" fillId="0" borderId="0" xfId="0" applyFont="1" applyBorder="1" applyAlignment="1" applyProtection="1">
      <alignment horizontal="center" vertical="center" wrapText="1"/>
      <protection hidden="1"/>
    </xf>
    <xf numFmtId="0" fontId="0" fillId="0" borderId="0" xfId="0" applyFont="1" applyBorder="1" applyAlignment="1" applyProtection="1">
      <alignment horizontal="left" vertical="center" indent="1"/>
      <protection hidden="1"/>
    </xf>
    <xf numFmtId="0" fontId="0" fillId="0" borderId="25" xfId="0" applyFont="1" applyBorder="1" applyAlignment="1" applyProtection="1">
      <alignment horizontal="left" vertical="center" indent="1"/>
      <protection hidden="1"/>
    </xf>
    <xf numFmtId="0" fontId="0" fillId="0" borderId="34" xfId="0" applyFont="1" applyBorder="1" applyAlignment="1" applyProtection="1">
      <alignment horizontal="left" vertical="center" indent="1"/>
      <protection hidden="1"/>
    </xf>
    <xf numFmtId="0" fontId="0" fillId="0" borderId="37" xfId="0" applyFont="1" applyBorder="1" applyAlignment="1" applyProtection="1">
      <alignment horizontal="left" vertical="center" indent="1"/>
      <protection hidden="1"/>
    </xf>
    <xf numFmtId="0" fontId="0" fillId="0" borderId="0" xfId="0" applyFill="1" applyBorder="1" applyAlignment="1" applyProtection="1">
      <alignment horizontal="left" wrapText="1" indent="1"/>
      <protection hidden="1"/>
    </xf>
    <xf numFmtId="0" fontId="0" fillId="0" borderId="18" xfId="0" applyFont="1" applyBorder="1" applyAlignment="1" applyProtection="1">
      <alignment horizontal="left" vertical="center" indent="1"/>
      <protection hidden="1"/>
    </xf>
    <xf numFmtId="0" fontId="0" fillId="0" borderId="20" xfId="0" applyFont="1" applyBorder="1" applyAlignment="1" applyProtection="1">
      <alignment horizontal="left" vertical="center" indent="1"/>
      <protection hidden="1"/>
    </xf>
    <xf numFmtId="0" fontId="1" fillId="0" borderId="18" xfId="0" applyFont="1" applyFill="1" applyBorder="1" applyAlignment="1" applyProtection="1">
      <alignment horizontal="right"/>
      <protection hidden="1"/>
    </xf>
    <xf numFmtId="0" fontId="0" fillId="0" borderId="18" xfId="0" applyFill="1" applyBorder="1" applyProtection="1">
      <protection hidden="1"/>
    </xf>
    <xf numFmtId="0" fontId="0" fillId="0" borderId="18" xfId="0" applyBorder="1" applyProtection="1">
      <protection hidden="1"/>
    </xf>
    <xf numFmtId="0" fontId="1" fillId="0" borderId="0" xfId="0" applyFont="1" applyFill="1" applyProtection="1">
      <protection hidden="1"/>
    </xf>
    <xf numFmtId="0" fontId="0" fillId="7" borderId="0" xfId="0" applyFill="1" applyProtection="1">
      <protection hidden="1"/>
    </xf>
    <xf numFmtId="0" fontId="0" fillId="0" borderId="6" xfId="0" applyFill="1" applyBorder="1" applyAlignment="1" applyProtection="1">
      <alignment horizontal="left" vertical="center" indent="1"/>
      <protection hidden="1"/>
    </xf>
    <xf numFmtId="0" fontId="0" fillId="0" borderId="34" xfId="0" applyFill="1" applyBorder="1" applyAlignment="1" applyProtection="1">
      <alignment horizontal="left" indent="1"/>
      <protection hidden="1"/>
    </xf>
    <xf numFmtId="0" fontId="0" fillId="0" borderId="6" xfId="0" applyFill="1" applyBorder="1" applyAlignment="1" applyProtection="1">
      <alignment horizontal="left" indent="1"/>
      <protection hidden="1"/>
    </xf>
    <xf numFmtId="0" fontId="0" fillId="0" borderId="37" xfId="0" applyFill="1" applyBorder="1" applyAlignment="1" applyProtection="1">
      <alignment horizontal="left" indent="1"/>
      <protection hidden="1"/>
    </xf>
    <xf numFmtId="0" fontId="0" fillId="0" borderId="35" xfId="0" applyFill="1" applyBorder="1" applyAlignment="1" applyProtection="1">
      <alignment horizontal="left" vertical="center" indent="1"/>
      <protection hidden="1"/>
    </xf>
    <xf numFmtId="0" fontId="0" fillId="0" borderId="0" xfId="0" applyFill="1" applyBorder="1" applyAlignment="1" applyProtection="1">
      <alignment horizontal="left" indent="1"/>
      <protection hidden="1"/>
    </xf>
    <xf numFmtId="0" fontId="0" fillId="0" borderId="35" xfId="0" applyFill="1" applyBorder="1" applyAlignment="1" applyProtection="1">
      <alignment horizontal="left" indent="1"/>
      <protection hidden="1"/>
    </xf>
    <xf numFmtId="0" fontId="0" fillId="0" borderId="25" xfId="0" applyFill="1" applyBorder="1" applyAlignment="1" applyProtection="1">
      <alignment horizontal="left" indent="1"/>
      <protection hidden="1"/>
    </xf>
    <xf numFmtId="0" fontId="0" fillId="0" borderId="34" xfId="0" applyBorder="1" applyAlignment="1" applyProtection="1">
      <alignment horizontal="left" indent="1"/>
      <protection hidden="1"/>
    </xf>
    <xf numFmtId="0" fontId="0" fillId="0" borderId="37" xfId="0" applyBorder="1" applyAlignment="1" applyProtection="1">
      <alignment horizontal="left" indent="1"/>
      <protection hidden="1"/>
    </xf>
    <xf numFmtId="0" fontId="35" fillId="0" borderId="0" xfId="0" applyFont="1" applyFill="1" applyBorder="1" applyAlignment="1" applyProtection="1">
      <alignment horizontal="left"/>
      <protection hidden="1"/>
    </xf>
    <xf numFmtId="0" fontId="35" fillId="0" borderId="0" xfId="0" applyFont="1" applyProtection="1">
      <protection hidden="1"/>
    </xf>
    <xf numFmtId="0" fontId="0" fillId="0" borderId="0" xfId="0" applyFill="1" applyBorder="1" applyAlignment="1" applyProtection="1">
      <alignment horizontal="left"/>
      <protection hidden="1"/>
    </xf>
    <xf numFmtId="0" fontId="0" fillId="0" borderId="74" xfId="0" applyFont="1" applyFill="1" applyBorder="1" applyAlignment="1" applyProtection="1">
      <alignment horizontal="left" vertical="center"/>
      <protection hidden="1"/>
    </xf>
    <xf numFmtId="0" fontId="0" fillId="0" borderId="38" xfId="0" applyFont="1" applyFill="1" applyBorder="1" applyAlignment="1" applyProtection="1">
      <alignment horizontal="left" vertical="center"/>
      <protection hidden="1"/>
    </xf>
    <xf numFmtId="0" fontId="0" fillId="0" borderId="26" xfId="0" applyFont="1" applyFill="1" applyBorder="1" applyAlignment="1" applyProtection="1">
      <alignment horizontal="left" vertical="center"/>
      <protection hidden="1"/>
    </xf>
    <xf numFmtId="0" fontId="0" fillId="0" borderId="37" xfId="0" applyBorder="1" applyAlignment="1" applyProtection="1">
      <alignment horizontal="left" vertical="center" indent="1"/>
      <protection hidden="1"/>
    </xf>
    <xf numFmtId="0" fontId="0" fillId="0" borderId="6" xfId="0" applyBorder="1" applyProtection="1">
      <protection hidden="1"/>
    </xf>
    <xf numFmtId="0" fontId="0" fillId="0" borderId="34" xfId="0" applyBorder="1" applyProtection="1">
      <protection hidden="1"/>
    </xf>
    <xf numFmtId="0" fontId="0" fillId="7" borderId="1" xfId="0" applyFont="1" applyFill="1" applyBorder="1" applyAlignment="1" applyProtection="1">
      <alignment horizontal="left" vertical="center" indent="1"/>
      <protection hidden="1"/>
    </xf>
    <xf numFmtId="0" fontId="0" fillId="0" borderId="25" xfId="0" applyFill="1" applyBorder="1" applyProtection="1">
      <protection hidden="1"/>
    </xf>
    <xf numFmtId="0" fontId="0" fillId="7" borderId="1" xfId="0" applyFill="1" applyBorder="1" applyAlignment="1" applyProtection="1">
      <alignment horizontal="left" vertical="center" indent="1"/>
      <protection hidden="1"/>
    </xf>
    <xf numFmtId="0" fontId="0" fillId="0" borderId="34" xfId="0" applyFill="1" applyBorder="1" applyAlignment="1" applyProtection="1">
      <alignment horizontal="left" vertical="center" indent="1"/>
      <protection hidden="1"/>
    </xf>
    <xf numFmtId="0" fontId="0" fillId="0" borderId="37" xfId="0" applyFill="1" applyBorder="1" applyAlignment="1" applyProtection="1">
      <alignment horizontal="left" vertical="center" indent="1"/>
      <protection hidden="1"/>
    </xf>
    <xf numFmtId="0" fontId="0" fillId="0" borderId="74" xfId="0" applyFill="1" applyBorder="1" applyAlignment="1" applyProtection="1">
      <alignment horizontal="left" vertical="center" indent="1"/>
      <protection hidden="1"/>
    </xf>
    <xf numFmtId="0" fontId="0" fillId="0" borderId="38" xfId="0" applyFill="1" applyBorder="1" applyAlignment="1" applyProtection="1">
      <alignment horizontal="left" vertical="center" indent="1"/>
      <protection hidden="1"/>
    </xf>
    <xf numFmtId="0" fontId="0" fillId="0" borderId="26" xfId="0" applyFill="1" applyBorder="1" applyAlignment="1" applyProtection="1">
      <alignment horizontal="left" vertical="center" indent="1"/>
      <protection hidden="1"/>
    </xf>
    <xf numFmtId="0" fontId="0" fillId="0" borderId="35" xfId="0" applyFill="1" applyBorder="1" applyAlignment="1" applyProtection="1">
      <alignment horizontal="left" vertical="center" wrapText="1" indent="1"/>
      <protection hidden="1"/>
    </xf>
    <xf numFmtId="0" fontId="0" fillId="0" borderId="0" xfId="0" applyFill="1" applyBorder="1" applyAlignment="1" applyProtection="1">
      <alignment horizontal="left" vertical="center" wrapText="1" indent="1"/>
      <protection hidden="1"/>
    </xf>
    <xf numFmtId="0" fontId="0" fillId="0" borderId="25" xfId="0" applyFill="1" applyBorder="1" applyAlignment="1" applyProtection="1">
      <alignment horizontal="left" vertical="center" wrapText="1" indent="1"/>
      <protection hidden="1"/>
    </xf>
    <xf numFmtId="0" fontId="0" fillId="0" borderId="6" xfId="0" applyFill="1" applyBorder="1" applyAlignment="1" applyProtection="1">
      <alignment horizontal="left" vertical="center" wrapText="1" indent="1"/>
      <protection hidden="1"/>
    </xf>
    <xf numFmtId="0" fontId="0" fillId="0" borderId="34" xfId="0" applyFill="1" applyBorder="1" applyAlignment="1" applyProtection="1">
      <alignment horizontal="left" vertical="center" wrapText="1" indent="1"/>
      <protection hidden="1"/>
    </xf>
    <xf numFmtId="0" fontId="0" fillId="0" borderId="37" xfId="0" applyFill="1" applyBorder="1" applyAlignment="1" applyProtection="1">
      <alignment horizontal="left" vertical="center" wrapText="1" indent="1"/>
      <protection hidden="1"/>
    </xf>
    <xf numFmtId="0" fontId="0" fillId="0" borderId="74" xfId="0" applyFont="1" applyFill="1" applyBorder="1" applyAlignment="1" applyProtection="1">
      <alignment horizontal="left" vertical="center" indent="1"/>
      <protection hidden="1"/>
    </xf>
    <xf numFmtId="0" fontId="0" fillId="0" borderId="26" xfId="0" applyFont="1" applyFill="1" applyBorder="1" applyAlignment="1" applyProtection="1">
      <alignment horizontal="left" vertical="center" indent="1"/>
      <protection hidden="1"/>
    </xf>
    <xf numFmtId="0" fontId="0" fillId="0" borderId="65" xfId="0" applyFont="1" applyFill="1" applyBorder="1" applyAlignment="1" applyProtection="1">
      <alignment horizontal="left" vertical="center" indent="1"/>
      <protection hidden="1"/>
    </xf>
    <xf numFmtId="0" fontId="0" fillId="0" borderId="20" xfId="0" applyFont="1" applyFill="1" applyBorder="1" applyAlignment="1" applyProtection="1">
      <alignment horizontal="left" vertical="center" indent="1"/>
      <protection hidden="1"/>
    </xf>
    <xf numFmtId="0" fontId="0" fillId="0" borderId="35" xfId="0" applyFont="1" applyFill="1" applyBorder="1" applyAlignment="1" applyProtection="1">
      <alignment horizontal="left" vertical="center" indent="1"/>
      <protection hidden="1"/>
    </xf>
    <xf numFmtId="0" fontId="0" fillId="0" borderId="0" xfId="0" applyAlignment="1" applyProtection="1">
      <alignment horizontal="center"/>
      <protection hidden="1"/>
    </xf>
    <xf numFmtId="0" fontId="0" fillId="0" borderId="0" xfId="0" applyFont="1" applyFill="1" applyProtection="1">
      <protection hidden="1"/>
    </xf>
    <xf numFmtId="0" fontId="6" fillId="0" borderId="0" xfId="0" applyFont="1" applyFill="1" applyProtection="1">
      <protection hidden="1"/>
    </xf>
    <xf numFmtId="0" fontId="5" fillId="0" borderId="0" xfId="1" applyFont="1" applyFill="1" applyAlignment="1" applyProtection="1">
      <alignment horizontal="left"/>
      <protection hidden="1"/>
    </xf>
    <xf numFmtId="0" fontId="6" fillId="0" borderId="0" xfId="0" applyFont="1" applyFill="1" applyAlignment="1" applyProtection="1">
      <alignment horizontal="left"/>
      <protection hidden="1"/>
    </xf>
    <xf numFmtId="0" fontId="3" fillId="0" borderId="5" xfId="0" applyFont="1" applyFill="1" applyBorder="1" applyAlignment="1" applyProtection="1">
      <protection hidden="1"/>
    </xf>
    <xf numFmtId="0" fontId="6" fillId="0" borderId="0" xfId="0" applyFont="1" applyFill="1" applyProtection="1">
      <protection locked="0" hidden="1"/>
    </xf>
    <xf numFmtId="0" fontId="6" fillId="0" borderId="0" xfId="0" applyFont="1" applyProtection="1">
      <protection hidden="1"/>
    </xf>
    <xf numFmtId="0" fontId="27" fillId="0" borderId="0" xfId="1" applyFont="1" applyFill="1" applyAlignment="1" applyProtection="1">
      <alignment horizontal="left" indent="1"/>
      <protection hidden="1"/>
    </xf>
    <xf numFmtId="0" fontId="27" fillId="0" borderId="0" xfId="1" applyFont="1" applyFill="1" applyAlignment="1" applyProtection="1">
      <protection hidden="1"/>
    </xf>
    <xf numFmtId="0" fontId="7" fillId="0" borderId="0" xfId="0" applyFont="1" applyFill="1" applyProtection="1">
      <protection hidden="1"/>
    </xf>
    <xf numFmtId="0" fontId="7" fillId="0" borderId="0" xfId="0" applyFont="1" applyProtection="1">
      <protection hidden="1"/>
    </xf>
    <xf numFmtId="0" fontId="7" fillId="0" borderId="0" xfId="0" applyFont="1" applyFill="1" applyAlignment="1" applyProtection="1">
      <protection hidden="1"/>
    </xf>
    <xf numFmtId="0" fontId="8" fillId="0" borderId="0" xfId="1" applyFont="1" applyFill="1" applyAlignment="1" applyProtection="1">
      <protection hidden="1"/>
    </xf>
    <xf numFmtId="0" fontId="30" fillId="3" borderId="45" xfId="0" applyFont="1" applyFill="1" applyBorder="1" applyAlignment="1" applyProtection="1">
      <alignment horizontal="center"/>
      <protection hidden="1"/>
    </xf>
    <xf numFmtId="0" fontId="7" fillId="0" borderId="0" xfId="0" applyFont="1" applyAlignment="1" applyProtection="1">
      <alignment horizontal="left" indent="1"/>
      <protection hidden="1"/>
    </xf>
    <xf numFmtId="0" fontId="9" fillId="0" borderId="0" xfId="0" applyFont="1" applyFill="1" applyBorder="1" applyAlignment="1" applyProtection="1">
      <alignment horizontal="left" vertical="center"/>
      <protection hidden="1"/>
    </xf>
    <xf numFmtId="0" fontId="15" fillId="0" borderId="0" xfId="0" quotePrefix="1" applyFont="1" applyFill="1" applyBorder="1" applyAlignment="1" applyProtection="1">
      <alignment horizontal="right" vertical="center"/>
      <protection hidden="1"/>
    </xf>
    <xf numFmtId="0" fontId="7" fillId="13" borderId="60" xfId="0" applyFont="1" applyFill="1" applyBorder="1" applyAlignment="1" applyProtection="1">
      <alignment horizontal="center" vertical="center"/>
      <protection hidden="1"/>
    </xf>
    <xf numFmtId="0" fontId="7" fillId="5" borderId="61" xfId="0" applyFont="1" applyFill="1" applyBorder="1" applyAlignment="1" applyProtection="1">
      <alignment horizontal="center" vertical="center"/>
      <protection hidden="1"/>
    </xf>
    <xf numFmtId="0" fontId="7" fillId="4" borderId="61" xfId="0" applyFont="1" applyFill="1" applyBorder="1" applyAlignment="1" applyProtection="1">
      <alignment horizontal="center" vertical="center"/>
      <protection hidden="1"/>
    </xf>
    <xf numFmtId="0" fontId="15" fillId="0" borderId="0" xfId="0" applyFont="1" applyFill="1" applyBorder="1" applyAlignment="1" applyProtection="1">
      <alignment horizontal="right" vertical="center"/>
      <protection hidden="1"/>
    </xf>
    <xf numFmtId="0" fontId="7" fillId="9" borderId="61" xfId="0" applyFont="1" applyFill="1" applyBorder="1" applyAlignment="1" applyProtection="1">
      <alignment horizontal="center"/>
      <protection hidden="1"/>
    </xf>
    <xf numFmtId="0" fontId="30" fillId="11" borderId="62" xfId="0" applyFont="1" applyFill="1" applyBorder="1" applyAlignment="1" applyProtection="1">
      <alignment horizontal="center"/>
      <protection hidden="1"/>
    </xf>
    <xf numFmtId="0" fontId="9" fillId="0" borderId="0" xfId="0" applyFont="1" applyFill="1" applyProtection="1">
      <protection hidden="1"/>
    </xf>
    <xf numFmtId="0" fontId="27" fillId="0" borderId="0" xfId="1" applyFont="1" applyFill="1" applyBorder="1" applyAlignment="1" applyProtection="1">
      <alignment horizontal="right" vertical="center"/>
      <protection locked="0" hidden="1"/>
    </xf>
    <xf numFmtId="0" fontId="26" fillId="0" borderId="0" xfId="2" applyProtection="1">
      <protection hidden="1"/>
    </xf>
    <xf numFmtId="0" fontId="8" fillId="0" borderId="0" xfId="1" applyFont="1" applyFill="1" applyBorder="1" applyAlignment="1" applyProtection="1">
      <alignment vertical="center"/>
      <protection hidden="1"/>
    </xf>
    <xf numFmtId="0" fontId="7" fillId="0" borderId="0" xfId="2" applyFont="1" applyFill="1" applyProtection="1">
      <protection hidden="1"/>
    </xf>
    <xf numFmtId="0" fontId="7" fillId="0" borderId="0" xfId="2" applyFont="1" applyFill="1" applyAlignment="1" applyProtection="1">
      <protection hidden="1"/>
    </xf>
    <xf numFmtId="0" fontId="26" fillId="0" borderId="0" xfId="2" applyFill="1" applyProtection="1">
      <protection hidden="1"/>
    </xf>
    <xf numFmtId="0" fontId="27" fillId="0" borderId="0" xfId="1" applyFont="1" applyFill="1" applyProtection="1">
      <protection hidden="1"/>
    </xf>
    <xf numFmtId="0" fontId="4" fillId="0" borderId="0" xfId="1" applyFill="1" applyAlignment="1" applyProtection="1">
      <protection hidden="1"/>
    </xf>
    <xf numFmtId="0" fontId="5" fillId="0" borderId="0" xfId="1" applyFont="1" applyFill="1" applyBorder="1" applyAlignment="1" applyProtection="1">
      <alignment horizontal="center" vertical="center"/>
      <protection hidden="1"/>
    </xf>
    <xf numFmtId="0" fontId="14" fillId="0" borderId="18" xfId="0" applyFont="1" applyBorder="1" applyAlignment="1" applyProtection="1">
      <protection hidden="1"/>
    </xf>
    <xf numFmtId="0" fontId="0" fillId="0" borderId="0" xfId="0" applyBorder="1" applyAlignment="1" applyProtection="1">
      <alignment horizontal="center"/>
      <protection hidden="1"/>
    </xf>
    <xf numFmtId="0" fontId="0" fillId="0" borderId="0" xfId="0" applyFont="1" applyFill="1" applyBorder="1" applyAlignment="1" applyProtection="1">
      <alignment horizontal="center"/>
      <protection hidden="1"/>
    </xf>
    <xf numFmtId="0" fontId="1" fillId="0" borderId="6" xfId="0" applyFont="1" applyBorder="1" applyAlignment="1" applyProtection="1">
      <alignment horizontal="center"/>
      <protection hidden="1"/>
    </xf>
    <xf numFmtId="0" fontId="1" fillId="0" borderId="34" xfId="0" applyFont="1" applyBorder="1" applyAlignment="1" applyProtection="1">
      <alignment horizontal="center"/>
      <protection hidden="1"/>
    </xf>
    <xf numFmtId="0" fontId="1" fillId="0" borderId="7" xfId="0" applyFont="1" applyBorder="1" applyAlignment="1" applyProtection="1">
      <alignment horizontal="center"/>
      <protection hidden="1"/>
    </xf>
    <xf numFmtId="0" fontId="1" fillId="0" borderId="17" xfId="0" applyFont="1" applyBorder="1" applyAlignment="1" applyProtection="1">
      <alignment horizontal="center"/>
      <protection hidden="1"/>
    </xf>
    <xf numFmtId="0" fontId="1" fillId="0" borderId="18" xfId="0" applyFont="1" applyBorder="1" applyAlignment="1" applyProtection="1">
      <alignment horizontal="center"/>
      <protection hidden="1"/>
    </xf>
    <xf numFmtId="0" fontId="0" fillId="0" borderId="18" xfId="0" applyFont="1" applyBorder="1" applyAlignment="1" applyProtection="1">
      <alignment horizontal="left"/>
      <protection hidden="1"/>
    </xf>
    <xf numFmtId="49" fontId="0" fillId="5" borderId="6" xfId="0" applyNumberFormat="1" applyFont="1" applyFill="1" applyBorder="1" applyAlignment="1" applyProtection="1">
      <alignment horizontal="center"/>
      <protection hidden="1"/>
    </xf>
    <xf numFmtId="49" fontId="0" fillId="5" borderId="7" xfId="0" applyNumberFormat="1" applyFont="1" applyFill="1" applyBorder="1" applyAlignment="1" applyProtection="1">
      <alignment horizontal="center"/>
      <protection hidden="1"/>
    </xf>
    <xf numFmtId="0" fontId="0" fillId="5" borderId="7" xfId="0" applyNumberFormat="1" applyFont="1" applyFill="1" applyBorder="1" applyAlignment="1" applyProtection="1">
      <alignment horizontal="center"/>
      <protection hidden="1"/>
    </xf>
    <xf numFmtId="49" fontId="0" fillId="5" borderId="17" xfId="0" applyNumberFormat="1" applyFont="1" applyFill="1" applyBorder="1" applyAlignment="1" applyProtection="1">
      <alignment horizontal="center"/>
      <protection hidden="1"/>
    </xf>
    <xf numFmtId="0" fontId="0" fillId="5" borderId="0" xfId="0" applyFont="1" applyFill="1" applyAlignment="1" applyProtection="1">
      <alignment horizontal="center"/>
      <protection hidden="1"/>
    </xf>
    <xf numFmtId="0" fontId="0" fillId="5" borderId="0" xfId="0" applyNumberFormat="1" applyFont="1" applyFill="1" applyAlignment="1" applyProtection="1">
      <alignment horizontal="center"/>
      <protection hidden="1"/>
    </xf>
    <xf numFmtId="0" fontId="0" fillId="0" borderId="0" xfId="0" quotePrefix="1" applyProtection="1">
      <protection hidden="1"/>
    </xf>
    <xf numFmtId="0" fontId="0" fillId="0" borderId="37" xfId="0" applyFont="1" applyBorder="1" applyAlignment="1" applyProtection="1">
      <alignment horizontal="left"/>
      <protection hidden="1"/>
    </xf>
    <xf numFmtId="49" fontId="0" fillId="5" borderId="35" xfId="0" applyNumberFormat="1" applyFont="1" applyFill="1" applyBorder="1" applyAlignment="1" applyProtection="1">
      <alignment horizontal="center"/>
      <protection hidden="1"/>
    </xf>
    <xf numFmtId="10" fontId="17" fillId="5" borderId="34" xfId="0" applyNumberFormat="1" applyFont="1" applyFill="1" applyBorder="1" applyAlignment="1" applyProtection="1">
      <alignment horizontal="center"/>
      <protection hidden="1"/>
    </xf>
    <xf numFmtId="165" fontId="17" fillId="5" borderId="34" xfId="0" applyNumberFormat="1" applyFont="1" applyFill="1" applyBorder="1" applyAlignment="1" applyProtection="1">
      <alignment horizontal="center"/>
      <protection hidden="1"/>
    </xf>
    <xf numFmtId="166" fontId="17" fillId="5" borderId="34" xfId="0" applyNumberFormat="1" applyFont="1" applyFill="1" applyBorder="1" applyAlignment="1" applyProtection="1">
      <alignment horizontal="center"/>
      <protection hidden="1"/>
    </xf>
    <xf numFmtId="167" fontId="17" fillId="5" borderId="34" xfId="0" applyNumberFormat="1" applyFont="1" applyFill="1" applyBorder="1" applyAlignment="1" applyProtection="1">
      <alignment horizontal="center"/>
      <protection hidden="1"/>
    </xf>
    <xf numFmtId="175" fontId="18" fillId="5" borderId="34" xfId="0" applyNumberFormat="1" applyFont="1" applyFill="1" applyBorder="1" applyAlignment="1" applyProtection="1">
      <alignment horizontal="center"/>
      <protection hidden="1"/>
    </xf>
    <xf numFmtId="176" fontId="2" fillId="5" borderId="34" xfId="0" applyNumberFormat="1" applyFont="1" applyFill="1" applyBorder="1" applyAlignment="1" applyProtection="1">
      <alignment horizontal="center"/>
      <protection hidden="1"/>
    </xf>
    <xf numFmtId="172" fontId="18" fillId="5" borderId="34" xfId="0" applyNumberFormat="1" applyFont="1" applyFill="1" applyBorder="1" applyAlignment="1" applyProtection="1">
      <alignment horizontal="center"/>
      <protection hidden="1"/>
    </xf>
    <xf numFmtId="172" fontId="2" fillId="5" borderId="34" xfId="0" applyNumberFormat="1" applyFont="1" applyFill="1" applyBorder="1" applyAlignment="1" applyProtection="1">
      <alignment horizontal="center"/>
      <protection hidden="1"/>
    </xf>
    <xf numFmtId="172" fontId="2" fillId="5" borderId="7" xfId="0" applyNumberFormat="1" applyFont="1" applyFill="1" applyBorder="1" applyAlignment="1" applyProtection="1">
      <alignment horizontal="center"/>
      <protection hidden="1"/>
    </xf>
    <xf numFmtId="187" fontId="2" fillId="5" borderId="18" xfId="0" applyNumberFormat="1" applyFont="1" applyFill="1" applyBorder="1" applyAlignment="1" applyProtection="1">
      <alignment horizontal="center"/>
      <protection hidden="1"/>
    </xf>
    <xf numFmtId="168" fontId="0" fillId="5" borderId="37" xfId="0" applyNumberFormat="1" applyFont="1" applyFill="1" applyBorder="1" applyAlignment="1" applyProtection="1">
      <alignment horizontal="center"/>
      <protection hidden="1"/>
    </xf>
    <xf numFmtId="0" fontId="17" fillId="5" borderId="0" xfId="0" applyNumberFormat="1" applyFont="1" applyFill="1" applyAlignment="1" applyProtection="1">
      <alignment horizontal="center"/>
      <protection hidden="1"/>
    </xf>
    <xf numFmtId="0" fontId="0" fillId="0" borderId="25" xfId="0" applyBorder="1" applyAlignment="1" applyProtection="1">
      <alignment horizontal="left"/>
      <protection hidden="1"/>
    </xf>
    <xf numFmtId="166" fontId="13" fillId="5" borderId="34" xfId="0" applyNumberFormat="1" applyFont="1" applyFill="1" applyBorder="1" applyAlignment="1" applyProtection="1">
      <alignment horizontal="center"/>
      <protection hidden="1"/>
    </xf>
    <xf numFmtId="177" fontId="17" fillId="5" borderId="26" xfId="0" applyNumberFormat="1" applyFont="1" applyFill="1" applyBorder="1" applyAlignment="1" applyProtection="1">
      <alignment horizontal="center"/>
      <protection hidden="1"/>
    </xf>
    <xf numFmtId="0" fontId="37" fillId="5" borderId="0" xfId="0" applyNumberFormat="1" applyFont="1" applyFill="1" applyAlignment="1" applyProtection="1">
      <alignment horizontal="center"/>
      <protection hidden="1"/>
    </xf>
    <xf numFmtId="0" fontId="0" fillId="0" borderId="7" xfId="0" applyFont="1" applyBorder="1" applyAlignment="1" applyProtection="1">
      <alignment horizontal="left"/>
      <protection hidden="1"/>
    </xf>
    <xf numFmtId="49" fontId="0" fillId="5" borderId="6" xfId="0" applyNumberFormat="1" applyFill="1" applyBorder="1" applyAlignment="1" applyProtection="1">
      <alignment horizontal="center"/>
      <protection hidden="1"/>
    </xf>
    <xf numFmtId="10" fontId="0" fillId="5" borderId="18" xfId="0" applyNumberFormat="1" applyFill="1" applyBorder="1" applyAlignment="1" applyProtection="1">
      <alignment horizontal="center"/>
      <protection hidden="1"/>
    </xf>
    <xf numFmtId="165" fontId="0" fillId="5" borderId="18" xfId="0" applyNumberFormat="1" applyFont="1" applyFill="1" applyBorder="1" applyAlignment="1" applyProtection="1">
      <alignment horizontal="center"/>
      <protection hidden="1"/>
    </xf>
    <xf numFmtId="166" fontId="0" fillId="5" borderId="18" xfId="0" applyNumberFormat="1" applyFill="1" applyBorder="1" applyAlignment="1" applyProtection="1">
      <alignment horizontal="center"/>
      <protection hidden="1"/>
    </xf>
    <xf numFmtId="167" fontId="0" fillId="5" borderId="18" xfId="0" applyNumberFormat="1" applyFont="1" applyFill="1" applyBorder="1" applyAlignment="1" applyProtection="1">
      <alignment horizontal="center"/>
      <protection hidden="1"/>
    </xf>
    <xf numFmtId="10" fontId="0" fillId="5" borderId="18" xfId="0" applyNumberFormat="1" applyFont="1" applyFill="1" applyBorder="1" applyAlignment="1" applyProtection="1">
      <alignment horizontal="center"/>
      <protection hidden="1"/>
    </xf>
    <xf numFmtId="175" fontId="2" fillId="5" borderId="18" xfId="0" applyNumberFormat="1" applyFont="1" applyFill="1" applyBorder="1" applyAlignment="1" applyProtection="1">
      <alignment horizontal="center"/>
      <protection hidden="1"/>
    </xf>
    <xf numFmtId="0" fontId="0" fillId="0" borderId="17" xfId="0" applyFont="1" applyBorder="1" applyAlignment="1" applyProtection="1">
      <alignment horizontal="left"/>
      <protection hidden="1"/>
    </xf>
    <xf numFmtId="49" fontId="0" fillId="5" borderId="35" xfId="0" applyNumberFormat="1" applyFill="1" applyBorder="1" applyAlignment="1" applyProtection="1">
      <alignment horizontal="center"/>
      <protection hidden="1"/>
    </xf>
    <xf numFmtId="10" fontId="0" fillId="5" borderId="34" xfId="0" applyNumberFormat="1" applyFont="1" applyFill="1" applyBorder="1" applyAlignment="1" applyProtection="1">
      <alignment horizontal="center"/>
      <protection hidden="1"/>
    </xf>
    <xf numFmtId="165" fontId="0" fillId="5" borderId="34" xfId="0" applyNumberFormat="1" applyFont="1" applyFill="1" applyBorder="1" applyAlignment="1" applyProtection="1">
      <alignment horizontal="center"/>
      <protection hidden="1"/>
    </xf>
    <xf numFmtId="166" fontId="0" fillId="5" borderId="34" xfId="0" applyNumberFormat="1" applyFont="1" applyFill="1" applyBorder="1" applyAlignment="1" applyProtection="1">
      <alignment horizontal="center"/>
      <protection hidden="1"/>
    </xf>
    <xf numFmtId="167" fontId="0" fillId="5" borderId="34" xfId="0" applyNumberFormat="1" applyFont="1" applyFill="1" applyBorder="1" applyAlignment="1" applyProtection="1">
      <alignment horizontal="center"/>
      <protection hidden="1"/>
    </xf>
    <xf numFmtId="175" fontId="2" fillId="5" borderId="34" xfId="0" applyNumberFormat="1" applyFont="1" applyFill="1" applyBorder="1" applyAlignment="1" applyProtection="1">
      <alignment horizontal="center"/>
      <protection hidden="1"/>
    </xf>
    <xf numFmtId="176" fontId="2" fillId="5" borderId="38" xfId="0" applyNumberFormat="1" applyFont="1" applyFill="1" applyBorder="1" applyAlignment="1" applyProtection="1">
      <alignment horizontal="center"/>
      <protection hidden="1"/>
    </xf>
    <xf numFmtId="172" fontId="2" fillId="5" borderId="38" xfId="0" applyNumberFormat="1" applyFont="1" applyFill="1" applyBorder="1" applyAlignment="1" applyProtection="1">
      <alignment horizontal="center"/>
      <protection hidden="1"/>
    </xf>
    <xf numFmtId="172" fontId="2" fillId="5" borderId="18" xfId="0" applyNumberFormat="1" applyFont="1" applyFill="1" applyBorder="1" applyAlignment="1" applyProtection="1">
      <alignment horizontal="center"/>
      <protection hidden="1"/>
    </xf>
    <xf numFmtId="168" fontId="0" fillId="5" borderId="20" xfId="0" applyNumberFormat="1" applyFont="1" applyFill="1" applyBorder="1" applyAlignment="1" applyProtection="1">
      <alignment horizontal="center"/>
      <protection hidden="1"/>
    </xf>
    <xf numFmtId="0" fontId="0" fillId="0" borderId="20" xfId="0" applyFont="1" applyBorder="1" applyAlignment="1" applyProtection="1">
      <alignment horizontal="left"/>
      <protection hidden="1"/>
    </xf>
    <xf numFmtId="176" fontId="18" fillId="5" borderId="38" xfId="0" applyNumberFormat="1" applyFont="1" applyFill="1" applyBorder="1" applyAlignment="1" applyProtection="1">
      <alignment horizontal="center"/>
      <protection hidden="1"/>
    </xf>
    <xf numFmtId="10" fontId="0" fillId="5" borderId="7" xfId="0" applyNumberFormat="1" applyFont="1" applyFill="1" applyBorder="1" applyAlignment="1" applyProtection="1">
      <alignment horizontal="center"/>
      <protection hidden="1"/>
    </xf>
    <xf numFmtId="165" fontId="0" fillId="5" borderId="7" xfId="0" applyNumberFormat="1" applyFont="1" applyFill="1" applyBorder="1" applyAlignment="1" applyProtection="1">
      <alignment horizontal="center"/>
      <protection hidden="1"/>
    </xf>
    <xf numFmtId="166" fontId="0" fillId="5" borderId="7" xfId="0" applyNumberFormat="1" applyFont="1" applyFill="1" applyBorder="1" applyAlignment="1" applyProtection="1">
      <alignment horizontal="center"/>
      <protection hidden="1"/>
    </xf>
    <xf numFmtId="167" fontId="0" fillId="5" borderId="7" xfId="0" applyNumberFormat="1" applyFont="1" applyFill="1" applyBorder="1" applyAlignment="1" applyProtection="1">
      <alignment horizontal="center"/>
      <protection hidden="1"/>
    </xf>
    <xf numFmtId="175" fontId="2" fillId="5" borderId="7" xfId="0" applyNumberFormat="1" applyFont="1" applyFill="1" applyBorder="1" applyAlignment="1" applyProtection="1">
      <alignment horizontal="center"/>
      <protection hidden="1"/>
    </xf>
    <xf numFmtId="168" fontId="0" fillId="5" borderId="17" xfId="0" applyNumberFormat="1" applyFont="1" applyFill="1" applyBorder="1" applyAlignment="1" applyProtection="1">
      <alignment horizontal="center"/>
      <protection hidden="1"/>
    </xf>
    <xf numFmtId="0" fontId="0" fillId="0" borderId="6" xfId="0" applyFont="1" applyBorder="1" applyAlignment="1" applyProtection="1">
      <alignment horizontal="left"/>
      <protection hidden="1"/>
    </xf>
    <xf numFmtId="10" fontId="0" fillId="5" borderId="38" xfId="0" applyNumberFormat="1" applyFont="1" applyFill="1" applyBorder="1" applyAlignment="1" applyProtection="1">
      <alignment horizontal="center"/>
      <protection hidden="1"/>
    </xf>
    <xf numFmtId="188" fontId="0" fillId="5" borderId="38" xfId="0" applyNumberFormat="1" applyFont="1" applyFill="1" applyBorder="1" applyAlignment="1" applyProtection="1">
      <alignment horizontal="center"/>
      <protection hidden="1"/>
    </xf>
    <xf numFmtId="166" fontId="0" fillId="5" borderId="38" xfId="0" applyNumberFormat="1" applyFont="1" applyFill="1" applyBorder="1" applyAlignment="1" applyProtection="1">
      <alignment horizontal="center"/>
      <protection hidden="1"/>
    </xf>
    <xf numFmtId="167" fontId="0" fillId="5" borderId="38" xfId="0" applyNumberFormat="1" applyFont="1" applyFill="1" applyBorder="1" applyAlignment="1" applyProtection="1">
      <alignment horizontal="center"/>
      <protection hidden="1"/>
    </xf>
    <xf numFmtId="165" fontId="0" fillId="5" borderId="38" xfId="0" applyNumberFormat="1" applyFont="1" applyFill="1" applyBorder="1" applyAlignment="1" applyProtection="1">
      <alignment horizontal="center"/>
      <protection hidden="1"/>
    </xf>
    <xf numFmtId="175" fontId="2" fillId="5" borderId="38" xfId="0" applyNumberFormat="1" applyFont="1" applyFill="1" applyBorder="1" applyAlignment="1" applyProtection="1">
      <alignment horizontal="center"/>
      <protection hidden="1"/>
    </xf>
    <xf numFmtId="172" fontId="0" fillId="5" borderId="21" xfId="0" applyNumberFormat="1" applyFont="1" applyFill="1" applyBorder="1" applyAlignment="1" applyProtection="1">
      <alignment horizontal="center"/>
      <protection hidden="1"/>
    </xf>
    <xf numFmtId="168" fontId="0" fillId="5" borderId="26" xfId="0" applyNumberFormat="1" applyFont="1" applyFill="1" applyBorder="1" applyAlignment="1" applyProtection="1">
      <alignment horizontal="center"/>
      <protection hidden="1"/>
    </xf>
    <xf numFmtId="0" fontId="0" fillId="0" borderId="6" xfId="0" applyBorder="1" applyAlignment="1" applyProtection="1">
      <alignment horizontal="left"/>
      <protection hidden="1"/>
    </xf>
    <xf numFmtId="10" fontId="17" fillId="5" borderId="21" xfId="0" applyNumberFormat="1" applyFont="1" applyFill="1" applyBorder="1" applyAlignment="1" applyProtection="1">
      <alignment horizontal="center"/>
      <protection hidden="1"/>
    </xf>
    <xf numFmtId="165" fontId="17" fillId="5" borderId="21" xfId="0" applyNumberFormat="1" applyFont="1" applyFill="1" applyBorder="1" applyAlignment="1" applyProtection="1">
      <alignment horizontal="center"/>
      <protection hidden="1"/>
    </xf>
    <xf numFmtId="166" fontId="13" fillId="5" borderId="21" xfId="0" applyNumberFormat="1" applyFont="1" applyFill="1" applyBorder="1" applyAlignment="1" applyProtection="1">
      <alignment horizontal="center"/>
      <protection hidden="1"/>
    </xf>
    <xf numFmtId="166" fontId="17" fillId="5" borderId="21" xfId="0" applyNumberFormat="1" applyFont="1" applyFill="1" applyBorder="1" applyAlignment="1" applyProtection="1">
      <alignment horizontal="center"/>
      <protection hidden="1"/>
    </xf>
    <xf numFmtId="167" fontId="17" fillId="5" borderId="21" xfId="0" applyNumberFormat="1" applyFont="1" applyFill="1" applyBorder="1" applyAlignment="1" applyProtection="1">
      <alignment horizontal="center"/>
      <protection hidden="1"/>
    </xf>
    <xf numFmtId="175" fontId="18" fillId="5" borderId="21" xfId="0" applyNumberFormat="1" applyFont="1" applyFill="1" applyBorder="1" applyAlignment="1" applyProtection="1">
      <alignment horizontal="center"/>
      <protection hidden="1"/>
    </xf>
    <xf numFmtId="172" fontId="18" fillId="5" borderId="7" xfId="0" applyNumberFormat="1" applyFont="1" applyFill="1" applyBorder="1" applyAlignment="1" applyProtection="1">
      <alignment horizontal="center"/>
      <protection hidden="1"/>
    </xf>
    <xf numFmtId="172" fontId="18" fillId="5" borderId="21" xfId="0" applyNumberFormat="1" applyFont="1" applyFill="1" applyBorder="1" applyAlignment="1" applyProtection="1">
      <alignment horizontal="center"/>
      <protection hidden="1"/>
    </xf>
    <xf numFmtId="0" fontId="0" fillId="0" borderId="1" xfId="0" applyBorder="1" applyAlignment="1" applyProtection="1">
      <alignment horizontal="left"/>
      <protection hidden="1"/>
    </xf>
    <xf numFmtId="166" fontId="13" fillId="5" borderId="7" xfId="0" applyNumberFormat="1" applyFont="1" applyFill="1" applyBorder="1" applyAlignment="1" applyProtection="1">
      <alignment horizontal="center"/>
      <protection hidden="1"/>
    </xf>
    <xf numFmtId="177" fontId="0" fillId="5" borderId="37" xfId="0" applyNumberFormat="1" applyFont="1" applyFill="1" applyBorder="1" applyAlignment="1" applyProtection="1">
      <alignment horizontal="center"/>
      <protection hidden="1"/>
    </xf>
    <xf numFmtId="10" fontId="17" fillId="5" borderId="7" xfId="0" applyNumberFormat="1" applyFont="1" applyFill="1" applyBorder="1" applyAlignment="1" applyProtection="1">
      <alignment horizontal="center"/>
      <protection hidden="1"/>
    </xf>
    <xf numFmtId="168" fontId="17" fillId="5" borderId="37" xfId="0" applyNumberFormat="1" applyFont="1" applyFill="1" applyBorder="1" applyAlignment="1" applyProtection="1">
      <alignment horizontal="center"/>
      <protection hidden="1"/>
    </xf>
    <xf numFmtId="49" fontId="17" fillId="5" borderId="6" xfId="0" applyNumberFormat="1" applyFont="1" applyFill="1" applyBorder="1" applyAlignment="1" applyProtection="1">
      <alignment horizontal="center"/>
      <protection hidden="1"/>
    </xf>
    <xf numFmtId="168" fontId="17" fillId="5" borderId="26" xfId="0" applyNumberFormat="1" applyFont="1" applyFill="1" applyBorder="1" applyAlignment="1" applyProtection="1">
      <alignment horizontal="center"/>
      <protection hidden="1"/>
    </xf>
    <xf numFmtId="164" fontId="17" fillId="5" borderId="21" xfId="0" applyNumberFormat="1" applyFont="1" applyFill="1" applyBorder="1" applyAlignment="1" applyProtection="1">
      <alignment horizontal="center"/>
      <protection hidden="1"/>
    </xf>
    <xf numFmtId="174" fontId="17" fillId="5" borderId="21" xfId="0" applyNumberFormat="1" applyFont="1" applyFill="1" applyBorder="1" applyAlignment="1" applyProtection="1">
      <alignment horizontal="center"/>
      <protection hidden="1"/>
    </xf>
    <xf numFmtId="173" fontId="17" fillId="5" borderId="26" xfId="0" applyNumberFormat="1" applyFont="1" applyFill="1" applyBorder="1" applyAlignment="1" applyProtection="1">
      <alignment horizontal="center"/>
      <protection hidden="1"/>
    </xf>
    <xf numFmtId="10" fontId="0" fillId="5" borderId="21" xfId="0" applyNumberFormat="1" applyFont="1" applyFill="1" applyBorder="1" applyAlignment="1" applyProtection="1">
      <alignment horizontal="center"/>
      <protection hidden="1"/>
    </xf>
    <xf numFmtId="165" fontId="0" fillId="5" borderId="21" xfId="0" applyNumberFormat="1" applyFont="1" applyFill="1" applyBorder="1" applyAlignment="1" applyProtection="1">
      <alignment horizontal="center"/>
      <protection hidden="1"/>
    </xf>
    <xf numFmtId="166" fontId="0" fillId="5" borderId="21" xfId="0" applyNumberFormat="1" applyFont="1" applyFill="1" applyBorder="1" applyAlignment="1" applyProtection="1">
      <alignment horizontal="center"/>
      <protection hidden="1"/>
    </xf>
    <xf numFmtId="167" fontId="0" fillId="5" borderId="21" xfId="0" applyNumberFormat="1" applyFont="1" applyFill="1" applyBorder="1" applyAlignment="1" applyProtection="1">
      <alignment horizontal="center"/>
      <protection hidden="1"/>
    </xf>
    <xf numFmtId="175" fontId="2" fillId="5" borderId="21" xfId="0" applyNumberFormat="1" applyFont="1" applyFill="1" applyBorder="1" applyAlignment="1" applyProtection="1">
      <alignment horizontal="center"/>
      <protection hidden="1"/>
    </xf>
    <xf numFmtId="172" fontId="2" fillId="5" borderId="21" xfId="0" applyNumberFormat="1" applyFont="1" applyFill="1" applyBorder="1" applyAlignment="1" applyProtection="1">
      <alignment horizontal="center"/>
      <protection hidden="1"/>
    </xf>
    <xf numFmtId="0" fontId="0" fillId="0" borderId="25" xfId="0" applyFont="1" applyBorder="1" applyAlignment="1" applyProtection="1">
      <alignment horizontal="left"/>
      <protection hidden="1"/>
    </xf>
    <xf numFmtId="172" fontId="32" fillId="5" borderId="34" xfId="0" applyNumberFormat="1" applyFont="1" applyFill="1" applyBorder="1" applyAlignment="1" applyProtection="1">
      <alignment horizontal="center"/>
      <protection hidden="1"/>
    </xf>
    <xf numFmtId="172" fontId="32" fillId="5" borderId="38" xfId="0" applyNumberFormat="1" applyFont="1" applyFill="1" applyBorder="1" applyAlignment="1" applyProtection="1">
      <alignment horizontal="center"/>
      <protection hidden="1"/>
    </xf>
    <xf numFmtId="168" fontId="31" fillId="5" borderId="37" xfId="0" applyNumberFormat="1" applyFont="1" applyFill="1" applyBorder="1" applyAlignment="1" applyProtection="1">
      <alignment horizontal="center"/>
      <protection hidden="1"/>
    </xf>
    <xf numFmtId="10" fontId="31" fillId="5" borderId="34" xfId="0" applyNumberFormat="1" applyFont="1" applyFill="1" applyBorder="1" applyAlignment="1" applyProtection="1">
      <alignment horizontal="center"/>
      <protection hidden="1"/>
    </xf>
    <xf numFmtId="165" fontId="31" fillId="5" borderId="34" xfId="0" applyNumberFormat="1" applyFont="1" applyFill="1" applyBorder="1" applyAlignment="1" applyProtection="1">
      <alignment horizontal="center"/>
      <protection hidden="1"/>
    </xf>
    <xf numFmtId="166" fontId="31" fillId="5" borderId="34" xfId="0" applyNumberFormat="1" applyFont="1" applyFill="1" applyBorder="1" applyAlignment="1" applyProtection="1">
      <alignment horizontal="center"/>
      <protection hidden="1"/>
    </xf>
    <xf numFmtId="167" fontId="31" fillId="5" borderId="34" xfId="0" applyNumberFormat="1" applyFont="1" applyFill="1" applyBorder="1" applyAlignment="1" applyProtection="1">
      <alignment horizontal="center"/>
      <protection hidden="1"/>
    </xf>
    <xf numFmtId="175" fontId="32" fillId="5" borderId="34" xfId="0" applyNumberFormat="1" applyFont="1" applyFill="1" applyBorder="1" applyAlignment="1" applyProtection="1">
      <alignment horizontal="center"/>
      <protection hidden="1"/>
    </xf>
    <xf numFmtId="175" fontId="32" fillId="5" borderId="38" xfId="0" applyNumberFormat="1" applyFont="1" applyFill="1" applyBorder="1" applyAlignment="1" applyProtection="1">
      <alignment horizontal="center"/>
      <protection hidden="1"/>
    </xf>
    <xf numFmtId="0" fontId="31" fillId="5" borderId="0" xfId="0" applyNumberFormat="1" applyFont="1" applyFill="1" applyAlignment="1" applyProtection="1">
      <alignment horizontal="center"/>
      <protection hidden="1"/>
    </xf>
    <xf numFmtId="176" fontId="32" fillId="5" borderId="38" xfId="0" applyNumberFormat="1" applyFont="1" applyFill="1" applyBorder="1" applyAlignment="1" applyProtection="1">
      <alignment horizontal="center"/>
      <protection hidden="1"/>
    </xf>
    <xf numFmtId="10" fontId="37" fillId="5" borderId="34" xfId="0" applyNumberFormat="1" applyFont="1" applyFill="1" applyBorder="1" applyAlignment="1" applyProtection="1">
      <alignment horizontal="center"/>
      <protection hidden="1"/>
    </xf>
    <xf numFmtId="165" fontId="37" fillId="5" borderId="34" xfId="0" applyNumberFormat="1" applyFont="1" applyFill="1" applyBorder="1" applyAlignment="1" applyProtection="1">
      <alignment horizontal="center"/>
      <protection hidden="1"/>
    </xf>
    <xf numFmtId="166" fontId="37" fillId="5" borderId="34" xfId="0" applyNumberFormat="1" applyFont="1" applyFill="1" applyBorder="1" applyAlignment="1" applyProtection="1">
      <alignment horizontal="center"/>
      <protection hidden="1"/>
    </xf>
    <xf numFmtId="167" fontId="37" fillId="5" borderId="34" xfId="0" applyNumberFormat="1" applyFont="1" applyFill="1" applyBorder="1" applyAlignment="1" applyProtection="1">
      <alignment horizontal="center"/>
      <protection hidden="1"/>
    </xf>
    <xf numFmtId="175" fontId="38" fillId="5" borderId="34" xfId="0" applyNumberFormat="1" applyFont="1" applyFill="1" applyBorder="1" applyAlignment="1" applyProtection="1">
      <alignment horizontal="center"/>
      <protection hidden="1"/>
    </xf>
    <xf numFmtId="175" fontId="38" fillId="5" borderId="38" xfId="0" applyNumberFormat="1" applyFont="1" applyFill="1" applyBorder="1" applyAlignment="1" applyProtection="1">
      <alignment horizontal="center"/>
      <protection hidden="1"/>
    </xf>
    <xf numFmtId="172" fontId="38" fillId="5" borderId="34" xfId="0" applyNumberFormat="1" applyFont="1" applyFill="1" applyBorder="1" applyAlignment="1" applyProtection="1">
      <alignment horizontal="center"/>
      <protection hidden="1"/>
    </xf>
    <xf numFmtId="172" fontId="38" fillId="5" borderId="38" xfId="0" applyNumberFormat="1" applyFont="1" applyFill="1" applyBorder="1" applyAlignment="1" applyProtection="1">
      <alignment horizontal="center"/>
      <protection hidden="1"/>
    </xf>
    <xf numFmtId="168" fontId="37" fillId="5" borderId="37" xfId="0" applyNumberFormat="1" applyFont="1" applyFill="1" applyBorder="1" applyAlignment="1" applyProtection="1">
      <alignment horizontal="center"/>
      <protection hidden="1"/>
    </xf>
    <xf numFmtId="175" fontId="38" fillId="5" borderId="0" xfId="0" applyNumberFormat="1" applyFont="1" applyFill="1" applyBorder="1" applyAlignment="1" applyProtection="1">
      <alignment horizontal="center"/>
      <protection hidden="1"/>
    </xf>
    <xf numFmtId="172" fontId="38" fillId="5" borderId="0" xfId="0" applyNumberFormat="1" applyFont="1" applyFill="1" applyBorder="1" applyAlignment="1" applyProtection="1">
      <alignment horizontal="center"/>
      <protection hidden="1"/>
    </xf>
    <xf numFmtId="0" fontId="0" fillId="0" borderId="0" xfId="0" applyAlignment="1" applyProtection="1">
      <alignment horizontal="left"/>
      <protection hidden="1"/>
    </xf>
    <xf numFmtId="165" fontId="0" fillId="0" borderId="0" xfId="0" applyNumberFormat="1" applyAlignment="1" applyProtection="1">
      <alignment horizontal="center"/>
      <protection hidden="1"/>
    </xf>
    <xf numFmtId="166" fontId="0" fillId="0" borderId="0" xfId="0" applyNumberFormat="1" applyAlignment="1" applyProtection="1">
      <alignment horizontal="center"/>
      <protection hidden="1"/>
    </xf>
    <xf numFmtId="167" fontId="0" fillId="0" borderId="0" xfId="0" applyNumberFormat="1" applyAlignment="1" applyProtection="1">
      <alignment horizontal="center"/>
      <protection hidden="1"/>
    </xf>
    <xf numFmtId="175" fontId="0" fillId="0" borderId="0" xfId="0" applyNumberFormat="1" applyAlignment="1" applyProtection="1">
      <alignment horizontal="center"/>
      <protection hidden="1"/>
    </xf>
    <xf numFmtId="172" fontId="0" fillId="0" borderId="0" xfId="0" applyNumberFormat="1" applyAlignment="1" applyProtection="1">
      <alignment horizontal="center"/>
      <protection hidden="1"/>
    </xf>
    <xf numFmtId="176" fontId="0" fillId="0" borderId="0" xfId="0" applyNumberFormat="1" applyAlignment="1" applyProtection="1">
      <alignment horizontal="center"/>
      <protection hidden="1"/>
    </xf>
    <xf numFmtId="168" fontId="0" fillId="0" borderId="0" xfId="0" applyNumberFormat="1" applyAlignment="1" applyProtection="1">
      <alignment horizontal="center"/>
      <protection hidden="1"/>
    </xf>
    <xf numFmtId="0" fontId="0" fillId="0" borderId="0" xfId="0" applyNumberFormat="1" applyAlignment="1" applyProtection="1">
      <alignment horizontal="left"/>
      <protection hidden="1"/>
    </xf>
    <xf numFmtId="0" fontId="0" fillId="0" borderId="0" xfId="0" applyNumberFormat="1" applyAlignment="1" applyProtection="1">
      <alignment horizontal="center"/>
      <protection hidden="1"/>
    </xf>
    <xf numFmtId="0" fontId="19" fillId="7" borderId="0" xfId="0" applyFont="1" applyFill="1" applyBorder="1" applyAlignment="1" applyProtection="1">
      <alignment horizontal="center" vertical="center" wrapText="1"/>
      <protection hidden="1"/>
    </xf>
    <xf numFmtId="0" fontId="0" fillId="0" borderId="0" xfId="0" applyAlignment="1" applyProtection="1">
      <alignment horizontal="center"/>
      <protection hidden="1"/>
    </xf>
    <xf numFmtId="0" fontId="5" fillId="0" borderId="0" xfId="1" applyFont="1" applyFill="1" applyBorder="1" applyAlignment="1" applyProtection="1">
      <alignment horizontal="center" vertical="center"/>
      <protection hidden="1"/>
    </xf>
    <xf numFmtId="0" fontId="0" fillId="0" borderId="0" xfId="0" applyProtection="1">
      <protection hidden="1"/>
    </xf>
    <xf numFmtId="0" fontId="0" fillId="7" borderId="0" xfId="0" applyFont="1" applyFill="1" applyBorder="1" applyAlignment="1" applyProtection="1">
      <alignment horizontal="left" vertical="center" indent="1"/>
    </xf>
    <xf numFmtId="49" fontId="0" fillId="5" borderId="34" xfId="0" applyNumberFormat="1" applyFont="1" applyFill="1" applyBorder="1" applyAlignment="1" applyProtection="1">
      <alignment horizontal="center"/>
      <protection hidden="1"/>
    </xf>
    <xf numFmtId="0" fontId="41" fillId="5" borderId="0" xfId="0" applyNumberFormat="1" applyFont="1" applyFill="1" applyAlignment="1" applyProtection="1">
      <alignment horizontal="center"/>
      <protection hidden="1"/>
    </xf>
    <xf numFmtId="49" fontId="0" fillId="5" borderId="0" xfId="0" applyNumberFormat="1" applyFont="1" applyFill="1" applyBorder="1" applyAlignment="1" applyProtection="1">
      <alignment horizontal="center"/>
      <protection hidden="1"/>
    </xf>
    <xf numFmtId="0" fontId="1" fillId="9" borderId="19" xfId="0" applyFont="1" applyFill="1" applyBorder="1" applyAlignment="1" applyProtection="1">
      <alignment horizontal="center"/>
    </xf>
    <xf numFmtId="0" fontId="1" fillId="9" borderId="39" xfId="0" applyFont="1" applyFill="1" applyBorder="1" applyAlignment="1" applyProtection="1">
      <alignment horizontal="center"/>
    </xf>
    <xf numFmtId="0" fontId="42" fillId="10" borderId="43" xfId="0" applyFont="1" applyFill="1" applyBorder="1" applyAlignment="1" applyProtection="1">
      <alignment horizontal="center" vertical="center" wrapText="1"/>
    </xf>
    <xf numFmtId="1" fontId="42" fillId="10" borderId="43" xfId="0" applyNumberFormat="1" applyFont="1" applyFill="1" applyBorder="1" applyAlignment="1" applyProtection="1">
      <alignment horizontal="center" vertical="center" wrapText="1"/>
    </xf>
    <xf numFmtId="0" fontId="42" fillId="10" borderId="0" xfId="0" applyNumberFormat="1" applyFont="1" applyFill="1" applyAlignment="1" applyProtection="1">
      <alignment horizontal="center" vertical="center" wrapText="1"/>
    </xf>
    <xf numFmtId="10" fontId="0" fillId="0" borderId="0" xfId="0" applyNumberFormat="1" applyFont="1" applyFill="1" applyBorder="1" applyAlignment="1" applyProtection="1">
      <alignment horizontal="center" vertical="center"/>
    </xf>
    <xf numFmtId="169" fontId="0" fillId="0" borderId="0" xfId="0" applyNumberFormat="1" applyFont="1" applyFill="1" applyBorder="1" applyAlignment="1" applyProtection="1">
      <alignment horizontal="center" vertical="center"/>
    </xf>
    <xf numFmtId="0" fontId="44" fillId="12" borderId="19" xfId="0" applyFont="1" applyFill="1" applyBorder="1" applyAlignment="1" applyProtection="1">
      <alignment horizontal="left" vertical="center" wrapText="1" indent="1"/>
    </xf>
    <xf numFmtId="0" fontId="44" fillId="12" borderId="0" xfId="0" applyFont="1" applyFill="1" applyBorder="1" applyAlignment="1" applyProtection="1">
      <alignment horizontal="left" vertical="center" wrapText="1" indent="2"/>
    </xf>
    <xf numFmtId="0" fontId="44" fillId="12" borderId="24" xfId="0" applyFont="1" applyFill="1" applyBorder="1" applyAlignment="1" applyProtection="1">
      <alignment horizontal="left" vertical="center" wrapText="1" indent="1"/>
    </xf>
    <xf numFmtId="0" fontId="44" fillId="12" borderId="5" xfId="0" applyFont="1" applyFill="1" applyBorder="1" applyAlignment="1" applyProtection="1">
      <alignment horizontal="left" vertical="center" wrapText="1" indent="2"/>
    </xf>
    <xf numFmtId="0" fontId="46" fillId="0" borderId="67" xfId="0" applyFont="1" applyFill="1" applyBorder="1" applyAlignment="1" applyProtection="1">
      <alignment horizontal="center" vertical="center"/>
      <protection hidden="1"/>
    </xf>
    <xf numFmtId="0" fontId="46" fillId="0" borderId="65" xfId="0" applyFont="1" applyFill="1" applyBorder="1" applyAlignment="1" applyProtection="1">
      <alignment horizontal="center" vertical="center"/>
      <protection hidden="1"/>
    </xf>
    <xf numFmtId="0" fontId="46" fillId="0" borderId="1" xfId="0" applyFont="1" applyFill="1" applyBorder="1" applyAlignment="1" applyProtection="1">
      <alignment horizontal="center" vertical="center"/>
      <protection hidden="1"/>
    </xf>
    <xf numFmtId="0" fontId="46" fillId="0" borderId="6" xfId="0" applyFont="1" applyFill="1" applyBorder="1" applyAlignment="1" applyProtection="1">
      <alignment horizontal="center" vertical="center"/>
      <protection hidden="1"/>
    </xf>
    <xf numFmtId="0" fontId="9" fillId="0" borderId="19" xfId="0" applyFont="1" applyBorder="1" applyAlignment="1" applyProtection="1">
      <alignment vertical="center"/>
      <protection hidden="1"/>
    </xf>
    <xf numFmtId="0" fontId="7" fillId="0" borderId="48" xfId="0" applyFont="1" applyBorder="1" applyAlignment="1" applyProtection="1">
      <alignment horizontal="center" vertical="center"/>
      <protection hidden="1"/>
    </xf>
    <xf numFmtId="0" fontId="7" fillId="0" borderId="0" xfId="0" applyFont="1" applyBorder="1" applyAlignment="1" applyProtection="1">
      <alignment horizontal="center" vertical="center"/>
      <protection hidden="1"/>
    </xf>
    <xf numFmtId="0" fontId="9" fillId="0" borderId="28" xfId="0" applyFont="1" applyBorder="1" applyAlignment="1" applyProtection="1">
      <alignment vertical="center"/>
      <protection hidden="1"/>
    </xf>
    <xf numFmtId="0" fontId="7" fillId="0" borderId="1" xfId="0" applyFont="1" applyBorder="1" applyAlignment="1" applyProtection="1">
      <alignment horizontal="center" vertical="center"/>
      <protection hidden="1"/>
    </xf>
    <xf numFmtId="0" fontId="7" fillId="0" borderId="34" xfId="0" applyFont="1" applyBorder="1" applyAlignment="1" applyProtection="1">
      <alignment horizontal="center" vertical="center"/>
      <protection hidden="1"/>
    </xf>
    <xf numFmtId="0" fontId="9" fillId="0" borderId="28" xfId="0" applyFont="1" applyFill="1" applyBorder="1" applyAlignment="1" applyProtection="1">
      <alignment vertical="center"/>
      <protection hidden="1"/>
    </xf>
    <xf numFmtId="0" fontId="9" fillId="0" borderId="19" xfId="0" applyFont="1" applyFill="1" applyBorder="1" applyAlignment="1" applyProtection="1">
      <alignment horizontal="left" vertical="center"/>
      <protection hidden="1"/>
    </xf>
    <xf numFmtId="0" fontId="9" fillId="0" borderId="19" xfId="0" applyFont="1" applyFill="1" applyBorder="1" applyAlignment="1" applyProtection="1">
      <alignment vertical="center"/>
      <protection hidden="1"/>
    </xf>
    <xf numFmtId="0" fontId="9" fillId="0" borderId="28" xfId="0" applyFont="1" applyFill="1" applyBorder="1" applyAlignment="1" applyProtection="1">
      <alignment horizontal="left" vertical="center"/>
      <protection hidden="1"/>
    </xf>
    <xf numFmtId="0" fontId="7" fillId="0" borderId="1" xfId="0" applyFont="1" applyBorder="1" applyAlignment="1" applyProtection="1">
      <alignment horizontal="center" vertical="center" wrapText="1"/>
      <protection hidden="1"/>
    </xf>
    <xf numFmtId="0" fontId="9" fillId="0" borderId="24" xfId="0" applyFont="1" applyFill="1" applyBorder="1" applyAlignment="1" applyProtection="1">
      <alignment vertical="center"/>
      <protection hidden="1"/>
    </xf>
    <xf numFmtId="0" fontId="7" fillId="0" borderId="16" xfId="0" applyFont="1" applyBorder="1" applyAlignment="1" applyProtection="1">
      <alignment horizontal="center" vertical="center"/>
      <protection hidden="1"/>
    </xf>
    <xf numFmtId="0" fontId="7" fillId="0" borderId="5" xfId="0" applyFont="1" applyBorder="1" applyAlignment="1" applyProtection="1">
      <alignment horizontal="center" vertical="center"/>
      <protection hidden="1"/>
    </xf>
    <xf numFmtId="0" fontId="46" fillId="0" borderId="34" xfId="0" applyFont="1" applyFill="1" applyBorder="1" applyAlignment="1" applyProtection="1">
      <alignment horizontal="left" vertical="center"/>
      <protection hidden="1"/>
    </xf>
    <xf numFmtId="0" fontId="46" fillId="0" borderId="8" xfId="0" applyFont="1" applyFill="1" applyBorder="1" applyAlignment="1" applyProtection="1">
      <alignment horizontal="left" vertical="center"/>
      <protection hidden="1"/>
    </xf>
    <xf numFmtId="0" fontId="46" fillId="0" borderId="18" xfId="0" applyFont="1" applyFill="1" applyBorder="1" applyAlignment="1" applyProtection="1">
      <alignment horizontal="left" vertical="center"/>
      <protection hidden="1"/>
    </xf>
    <xf numFmtId="0" fontId="46" fillId="0" borderId="63" xfId="0" applyFont="1" applyFill="1" applyBorder="1" applyAlignment="1" applyProtection="1">
      <alignment horizontal="left" vertical="center"/>
      <protection hidden="1"/>
    </xf>
    <xf numFmtId="0" fontId="45" fillId="0" borderId="41" xfId="0" applyFont="1" applyFill="1" applyBorder="1" applyAlignment="1" applyProtection="1">
      <alignment horizontal="left" vertical="center"/>
      <protection hidden="1"/>
    </xf>
    <xf numFmtId="0" fontId="45" fillId="0" borderId="2" xfId="0" applyFont="1" applyFill="1" applyBorder="1" applyAlignment="1" applyProtection="1">
      <alignment horizontal="left" vertical="center"/>
      <protection hidden="1"/>
    </xf>
    <xf numFmtId="0" fontId="45" fillId="0" borderId="2" xfId="0" applyFont="1" applyFill="1" applyBorder="1" applyAlignment="1" applyProtection="1">
      <alignment horizontal="left" vertical="center" wrapText="1"/>
      <protection hidden="1"/>
    </xf>
    <xf numFmtId="0" fontId="47" fillId="0" borderId="6" xfId="1" applyFont="1" applyFill="1" applyBorder="1" applyAlignment="1" applyProtection="1">
      <alignment horizontal="left" vertical="center"/>
      <protection hidden="1"/>
    </xf>
    <xf numFmtId="0" fontId="47" fillId="0" borderId="65" xfId="1" applyFont="1" applyFill="1" applyBorder="1" applyAlignment="1" applyProtection="1">
      <alignment horizontal="left" vertical="center"/>
      <protection hidden="1"/>
    </xf>
    <xf numFmtId="0" fontId="0" fillId="0" borderId="0" xfId="0" applyProtection="1">
      <protection hidden="1"/>
    </xf>
    <xf numFmtId="166" fontId="0" fillId="4" borderId="35" xfId="0" applyNumberFormat="1" applyFont="1" applyFill="1" applyBorder="1" applyAlignment="1" applyProtection="1">
      <alignment horizontal="center" vertical="center"/>
    </xf>
    <xf numFmtId="0" fontId="1" fillId="12" borderId="3" xfId="0" applyFont="1" applyFill="1" applyBorder="1" applyAlignment="1" applyProtection="1">
      <alignment horizontal="center" vertical="center"/>
    </xf>
    <xf numFmtId="0" fontId="35" fillId="0" borderId="0" xfId="0" applyFont="1" applyBorder="1" applyAlignment="1" applyProtection="1">
      <alignment horizontal="left" indent="1"/>
    </xf>
    <xf numFmtId="0" fontId="0" fillId="7" borderId="42" xfId="0" applyFont="1" applyFill="1" applyBorder="1" applyAlignment="1" applyProtection="1">
      <alignment horizontal="left" vertical="center" indent="1"/>
    </xf>
    <xf numFmtId="0" fontId="0" fillId="7" borderId="18" xfId="0" applyFont="1" applyFill="1" applyBorder="1" applyAlignment="1" applyProtection="1">
      <alignment horizontal="left" vertical="center" indent="1"/>
    </xf>
    <xf numFmtId="0" fontId="0" fillId="0" borderId="0" xfId="0" applyProtection="1">
      <protection hidden="1"/>
    </xf>
    <xf numFmtId="49" fontId="0" fillId="5" borderId="65" xfId="0" applyNumberFormat="1" applyFill="1" applyBorder="1" applyAlignment="1" applyProtection="1">
      <alignment horizontal="center"/>
      <protection hidden="1"/>
    </xf>
    <xf numFmtId="198" fontId="2" fillId="5" borderId="34" xfId="0" applyNumberFormat="1" applyFont="1" applyFill="1" applyBorder="1" applyAlignment="1" applyProtection="1">
      <alignment horizontal="center"/>
      <protection hidden="1"/>
    </xf>
    <xf numFmtId="169" fontId="17" fillId="5" borderId="34" xfId="0" applyNumberFormat="1" applyFont="1" applyFill="1" applyBorder="1" applyAlignment="1" applyProtection="1">
      <alignment horizontal="center"/>
      <protection hidden="1"/>
    </xf>
    <xf numFmtId="198" fontId="2" fillId="5" borderId="38" xfId="0" applyNumberFormat="1" applyFont="1" applyFill="1" applyBorder="1" applyAlignment="1" applyProtection="1">
      <alignment horizontal="center"/>
      <protection hidden="1"/>
    </xf>
    <xf numFmtId="164" fontId="17" fillId="5" borderId="34" xfId="0" applyNumberFormat="1" applyFont="1" applyFill="1" applyBorder="1" applyAlignment="1" applyProtection="1">
      <alignment horizontal="center"/>
      <protection hidden="1"/>
    </xf>
    <xf numFmtId="173" fontId="17" fillId="5" borderId="37" xfId="0" applyNumberFormat="1" applyFont="1" applyFill="1" applyBorder="1" applyAlignment="1" applyProtection="1">
      <alignment horizontal="center"/>
      <protection hidden="1"/>
    </xf>
    <xf numFmtId="49" fontId="0" fillId="5" borderId="34" xfId="0" applyNumberFormat="1" applyFill="1" applyBorder="1" applyAlignment="1" applyProtection="1">
      <alignment horizontal="center"/>
      <protection hidden="1"/>
    </xf>
    <xf numFmtId="0" fontId="0" fillId="0" borderId="0" xfId="0" applyProtection="1">
      <protection hidden="1"/>
    </xf>
    <xf numFmtId="10" fontId="41" fillId="5" borderId="34" xfId="0" applyNumberFormat="1" applyFont="1" applyFill="1" applyBorder="1" applyAlignment="1" applyProtection="1">
      <alignment horizontal="center"/>
      <protection hidden="1"/>
    </xf>
    <xf numFmtId="165" fontId="41" fillId="5" borderId="34" xfId="0" applyNumberFormat="1" applyFont="1" applyFill="1" applyBorder="1" applyAlignment="1" applyProtection="1">
      <alignment horizontal="center"/>
      <protection hidden="1"/>
    </xf>
    <xf numFmtId="166" fontId="41" fillId="5" borderId="34" xfId="0" applyNumberFormat="1" applyFont="1" applyFill="1" applyBorder="1" applyAlignment="1" applyProtection="1">
      <alignment horizontal="center"/>
      <protection hidden="1"/>
    </xf>
    <xf numFmtId="167" fontId="41" fillId="5" borderId="34" xfId="0" applyNumberFormat="1" applyFont="1" applyFill="1" applyBorder="1" applyAlignment="1" applyProtection="1">
      <alignment horizontal="center"/>
      <protection hidden="1"/>
    </xf>
    <xf numFmtId="175" fontId="48" fillId="5" borderId="34" xfId="0" applyNumberFormat="1" applyFont="1" applyFill="1" applyBorder="1" applyAlignment="1" applyProtection="1">
      <alignment horizontal="center"/>
      <protection hidden="1"/>
    </xf>
    <xf numFmtId="175" fontId="48" fillId="5" borderId="38" xfId="0" applyNumberFormat="1" applyFont="1" applyFill="1" applyBorder="1" applyAlignment="1" applyProtection="1">
      <alignment horizontal="center"/>
      <protection hidden="1"/>
    </xf>
    <xf numFmtId="172" fontId="48" fillId="5" borderId="38" xfId="0" applyNumberFormat="1" applyFont="1" applyFill="1" applyBorder="1" applyAlignment="1" applyProtection="1">
      <alignment horizontal="center"/>
      <protection hidden="1"/>
    </xf>
    <xf numFmtId="168" fontId="41" fillId="5" borderId="37" xfId="0" applyNumberFormat="1" applyFont="1" applyFill="1" applyBorder="1" applyAlignment="1" applyProtection="1">
      <alignment horizontal="center"/>
      <protection hidden="1"/>
    </xf>
    <xf numFmtId="0" fontId="16" fillId="0" borderId="0" xfId="0" applyFont="1" applyAlignment="1" applyProtection="1"/>
    <xf numFmtId="10" fontId="1" fillId="4" borderId="47" xfId="0" applyNumberFormat="1" applyFont="1" applyFill="1" applyBorder="1" applyAlignment="1" applyProtection="1">
      <alignment horizontal="center" vertical="center"/>
    </xf>
    <xf numFmtId="169" fontId="1" fillId="4" borderId="46" xfId="0" applyNumberFormat="1" applyFont="1" applyFill="1" applyBorder="1" applyAlignment="1" applyProtection="1">
      <alignment horizontal="center" vertical="center"/>
    </xf>
    <xf numFmtId="10" fontId="1" fillId="4" borderId="46" xfId="0" applyNumberFormat="1" applyFont="1" applyFill="1" applyBorder="1" applyAlignment="1" applyProtection="1">
      <alignment horizontal="center" vertical="center"/>
    </xf>
    <xf numFmtId="169" fontId="1" fillId="4" borderId="59" xfId="0" applyNumberFormat="1" applyFont="1" applyFill="1" applyBorder="1" applyAlignment="1" applyProtection="1">
      <alignment horizontal="center" vertical="center" wrapText="1"/>
    </xf>
    <xf numFmtId="0" fontId="35" fillId="0" borderId="0" xfId="0" applyFont="1" applyBorder="1" applyAlignment="1" applyProtection="1"/>
    <xf numFmtId="0" fontId="35" fillId="7" borderId="0" xfId="0" applyFont="1" applyFill="1" applyBorder="1" applyAlignment="1" applyProtection="1">
      <alignment vertical="center"/>
    </xf>
    <xf numFmtId="0" fontId="0" fillId="0" borderId="22" xfId="0" applyBorder="1" applyProtection="1"/>
    <xf numFmtId="0" fontId="34" fillId="0" borderId="0" xfId="0" applyFont="1" applyBorder="1" applyAlignment="1" applyProtection="1">
      <alignment horizontal="left" indent="1"/>
    </xf>
    <xf numFmtId="0" fontId="35" fillId="7" borderId="39" xfId="0" applyFont="1" applyFill="1" applyBorder="1" applyAlignment="1" applyProtection="1">
      <alignment vertical="center"/>
    </xf>
    <xf numFmtId="0" fontId="0" fillId="0" borderId="0" xfId="0" quotePrefix="1" applyBorder="1" applyAlignment="1" applyProtection="1">
      <alignment horizontal="center"/>
    </xf>
    <xf numFmtId="0" fontId="35" fillId="0" borderId="39" xfId="0" applyFont="1" applyBorder="1" applyAlignment="1" applyProtection="1"/>
    <xf numFmtId="0" fontId="0" fillId="0" borderId="5" xfId="0" applyBorder="1" applyProtection="1"/>
    <xf numFmtId="1" fontId="1" fillId="4" borderId="47" xfId="0" applyNumberFormat="1" applyFont="1" applyFill="1" applyBorder="1" applyAlignment="1" applyProtection="1">
      <alignment horizontal="center" vertical="center"/>
    </xf>
    <xf numFmtId="166" fontId="1" fillId="4" borderId="46" xfId="0" applyNumberFormat="1" applyFont="1" applyFill="1" applyBorder="1" applyAlignment="1" applyProtection="1">
      <alignment horizontal="center" vertical="center" wrapText="1"/>
    </xf>
    <xf numFmtId="1" fontId="1" fillId="4" borderId="46" xfId="0" applyNumberFormat="1" applyFont="1" applyFill="1" applyBorder="1" applyAlignment="1" applyProtection="1">
      <alignment horizontal="center" vertical="center"/>
    </xf>
    <xf numFmtId="10" fontId="1" fillId="4" borderId="46" xfId="0" applyNumberFormat="1" applyFont="1" applyFill="1" applyBorder="1" applyAlignment="1" applyProtection="1">
      <alignment horizontal="center" vertical="center" wrapText="1"/>
    </xf>
    <xf numFmtId="166" fontId="1" fillId="4" borderId="59" xfId="0" applyNumberFormat="1" applyFont="1" applyFill="1" applyBorder="1" applyAlignment="1" applyProtection="1">
      <alignment horizontal="center" vertical="center"/>
    </xf>
    <xf numFmtId="1" fontId="0" fillId="4" borderId="16" xfId="0" applyNumberFormat="1" applyFont="1" applyFill="1" applyBorder="1" applyAlignment="1" applyProtection="1">
      <alignment horizontal="center" vertical="center"/>
    </xf>
    <xf numFmtId="1" fontId="0" fillId="4" borderId="70" xfId="0" applyNumberFormat="1" applyFont="1" applyFill="1" applyBorder="1" applyAlignment="1" applyProtection="1">
      <alignment horizontal="center" vertical="center"/>
    </xf>
    <xf numFmtId="192" fontId="0" fillId="4" borderId="58" xfId="0" applyNumberFormat="1" applyFont="1" applyFill="1" applyBorder="1" applyAlignment="1" applyProtection="1">
      <alignment horizontal="center" vertical="center"/>
    </xf>
    <xf numFmtId="192" fontId="0" fillId="4" borderId="30" xfId="0" applyNumberFormat="1" applyFont="1" applyFill="1" applyBorder="1" applyAlignment="1" applyProtection="1">
      <alignment horizontal="center" vertical="center"/>
    </xf>
    <xf numFmtId="192" fontId="0" fillId="4" borderId="31" xfId="0" applyNumberFormat="1" applyFont="1" applyFill="1" applyBorder="1" applyAlignment="1" applyProtection="1">
      <alignment horizontal="center" vertical="center"/>
    </xf>
    <xf numFmtId="10" fontId="17" fillId="4" borderId="0" xfId="3" applyNumberFormat="1" applyFont="1" applyFill="1" applyBorder="1" applyAlignment="1" applyProtection="1">
      <alignment horizontal="center" vertical="center"/>
    </xf>
    <xf numFmtId="166" fontId="0" fillId="4" borderId="0" xfId="0" applyNumberFormat="1" applyFont="1" applyFill="1" applyBorder="1" applyAlignment="1" applyProtection="1">
      <alignment horizontal="center" vertical="center"/>
    </xf>
    <xf numFmtId="0" fontId="1" fillId="12" borderId="4" xfId="0" applyFont="1" applyFill="1" applyBorder="1" applyAlignment="1" applyProtection="1">
      <alignment horizontal="left" vertical="center" indent="1"/>
    </xf>
    <xf numFmtId="0" fontId="0" fillId="0" borderId="0" xfId="0" applyAlignment="1" applyProtection="1">
      <alignment horizontal="center"/>
      <protection hidden="1"/>
    </xf>
    <xf numFmtId="0" fontId="3" fillId="0" borderId="5" xfId="0" applyFont="1" applyFill="1" applyBorder="1" applyAlignment="1" applyProtection="1">
      <alignment horizontal="left"/>
      <protection hidden="1"/>
    </xf>
    <xf numFmtId="0" fontId="6" fillId="0" borderId="0" xfId="0" applyFont="1" applyFill="1" applyAlignment="1" applyProtection="1">
      <alignment horizontal="left"/>
      <protection hidden="1"/>
    </xf>
    <xf numFmtId="0" fontId="0" fillId="3" borderId="0" xfId="0" applyFill="1" applyAlignment="1" applyProtection="1">
      <alignment horizontal="center"/>
      <protection hidden="1"/>
    </xf>
    <xf numFmtId="0" fontId="5" fillId="0" borderId="0" xfId="1" applyFont="1" applyFill="1" applyAlignment="1" applyProtection="1">
      <alignment horizontal="left"/>
      <protection hidden="1"/>
    </xf>
    <xf numFmtId="0" fontId="5" fillId="0" borderId="0" xfId="1" quotePrefix="1" applyFont="1" applyFill="1" applyAlignment="1" applyProtection="1">
      <alignment horizontal="left"/>
      <protection hidden="1"/>
    </xf>
    <xf numFmtId="0" fontId="30" fillId="3" borderId="15" xfId="0" applyFont="1" applyFill="1" applyBorder="1" applyAlignment="1" applyProtection="1">
      <alignment horizontal="center"/>
      <protection hidden="1"/>
    </xf>
    <xf numFmtId="0" fontId="30" fillId="3" borderId="3" xfId="0" applyFont="1" applyFill="1" applyBorder="1" applyAlignment="1" applyProtection="1">
      <alignment horizontal="center"/>
      <protection hidden="1"/>
    </xf>
    <xf numFmtId="0" fontId="30" fillId="3" borderId="4" xfId="0" applyFont="1" applyFill="1" applyBorder="1" applyAlignment="1" applyProtection="1">
      <alignment horizontal="center"/>
      <protection hidden="1"/>
    </xf>
    <xf numFmtId="0" fontId="7" fillId="0" borderId="0" xfId="0" applyFont="1" applyFill="1" applyAlignment="1" applyProtection="1">
      <alignment horizontal="center"/>
      <protection hidden="1"/>
    </xf>
    <xf numFmtId="0" fontId="27" fillId="0" borderId="0" xfId="1" quotePrefix="1" applyFont="1" applyFill="1" applyAlignment="1" applyProtection="1">
      <alignment horizontal="left"/>
      <protection hidden="1"/>
    </xf>
    <xf numFmtId="0" fontId="9" fillId="0" borderId="0" xfId="0" applyFont="1" applyFill="1" applyAlignment="1" applyProtection="1">
      <alignment horizontal="left"/>
      <protection hidden="1"/>
    </xf>
    <xf numFmtId="0" fontId="6" fillId="3" borderId="0" xfId="0" applyFont="1" applyFill="1" applyAlignment="1" applyProtection="1">
      <alignment horizontal="center"/>
      <protection hidden="1"/>
    </xf>
    <xf numFmtId="0" fontId="9" fillId="0" borderId="0" xfId="0" applyFont="1" applyFill="1" applyAlignment="1" applyProtection="1">
      <alignment horizontal="center"/>
      <protection hidden="1"/>
    </xf>
    <xf numFmtId="0" fontId="27" fillId="0" borderId="65" xfId="1" applyFont="1" applyFill="1" applyBorder="1" applyAlignment="1" applyProtection="1">
      <alignment horizontal="left" vertical="center"/>
      <protection hidden="1"/>
    </xf>
    <xf numFmtId="0" fontId="27" fillId="0" borderId="18" xfId="1" applyFont="1" applyFill="1" applyBorder="1" applyAlignment="1" applyProtection="1">
      <alignment horizontal="left" vertical="center"/>
      <protection hidden="1"/>
    </xf>
    <xf numFmtId="0" fontId="27" fillId="0" borderId="63" xfId="1" applyFont="1" applyFill="1" applyBorder="1" applyAlignment="1" applyProtection="1">
      <alignment horizontal="left" vertical="center"/>
      <protection hidden="1"/>
    </xf>
    <xf numFmtId="0" fontId="27" fillId="0" borderId="6" xfId="1" applyFont="1" applyFill="1" applyBorder="1" applyAlignment="1" applyProtection="1">
      <alignment horizontal="left" vertical="center"/>
      <protection hidden="1"/>
    </xf>
    <xf numFmtId="0" fontId="27" fillId="0" borderId="34" xfId="1" applyFont="1" applyFill="1" applyBorder="1" applyAlignment="1" applyProtection="1">
      <alignment horizontal="left" vertical="center"/>
      <protection hidden="1"/>
    </xf>
    <xf numFmtId="0" fontId="27" fillId="0" borderId="8" xfId="1" applyFont="1" applyFill="1" applyBorder="1" applyAlignment="1" applyProtection="1">
      <alignment horizontal="left" vertical="center"/>
      <protection hidden="1"/>
    </xf>
    <xf numFmtId="0" fontId="27" fillId="0" borderId="35" xfId="1" applyFont="1" applyFill="1" applyBorder="1" applyAlignment="1" applyProtection="1">
      <alignment horizontal="left" vertical="center"/>
      <protection hidden="1"/>
    </xf>
    <xf numFmtId="0" fontId="27" fillId="0" borderId="0" xfId="1" applyFont="1" applyFill="1" applyBorder="1" applyAlignment="1" applyProtection="1">
      <alignment horizontal="left" vertical="center"/>
      <protection hidden="1"/>
    </xf>
    <xf numFmtId="0" fontId="27" fillId="0" borderId="39" xfId="1" applyFont="1" applyFill="1" applyBorder="1" applyAlignment="1" applyProtection="1">
      <alignment horizontal="left" vertical="center"/>
      <protection hidden="1"/>
    </xf>
    <xf numFmtId="0" fontId="27" fillId="0" borderId="12" xfId="1" applyFont="1" applyFill="1" applyBorder="1" applyAlignment="1" applyProtection="1">
      <alignment horizontal="left" vertical="center"/>
      <protection hidden="1"/>
    </xf>
    <xf numFmtId="0" fontId="27" fillId="0" borderId="13" xfId="1" applyFont="1" applyFill="1" applyBorder="1" applyAlignment="1" applyProtection="1">
      <alignment horizontal="left" vertical="center"/>
      <protection hidden="1"/>
    </xf>
    <xf numFmtId="0" fontId="27" fillId="0" borderId="14" xfId="1" applyFont="1" applyFill="1" applyBorder="1" applyAlignment="1" applyProtection="1">
      <alignment horizontal="left" vertical="center"/>
      <protection hidden="1"/>
    </xf>
    <xf numFmtId="0" fontId="47" fillId="0" borderId="9" xfId="1" applyFont="1" applyFill="1" applyBorder="1" applyAlignment="1" applyProtection="1">
      <alignment horizontal="left" vertical="center"/>
      <protection hidden="1"/>
    </xf>
    <xf numFmtId="0" fontId="47" fillId="0" borderId="10" xfId="1" applyFont="1" applyFill="1" applyBorder="1" applyAlignment="1" applyProtection="1">
      <alignment horizontal="left" vertical="center"/>
      <protection hidden="1"/>
    </xf>
    <xf numFmtId="0" fontId="47" fillId="0" borderId="11" xfId="1" applyFont="1" applyFill="1" applyBorder="1" applyAlignment="1" applyProtection="1">
      <alignment horizontal="left" vertical="center"/>
      <protection hidden="1"/>
    </xf>
    <xf numFmtId="0" fontId="0" fillId="0" borderId="74" xfId="0" applyFill="1" applyBorder="1" applyAlignment="1" applyProtection="1">
      <alignment horizontal="left" vertical="center" indent="1"/>
      <protection hidden="1"/>
    </xf>
    <xf numFmtId="0" fontId="0" fillId="0" borderId="38" xfId="0" applyFill="1" applyBorder="1" applyAlignment="1" applyProtection="1">
      <alignment horizontal="left" vertical="center" indent="1"/>
      <protection hidden="1"/>
    </xf>
    <xf numFmtId="0" fontId="0" fillId="0" borderId="26" xfId="0" applyFill="1" applyBorder="1" applyAlignment="1" applyProtection="1">
      <alignment horizontal="left" vertical="center" indent="1"/>
      <protection hidden="1"/>
    </xf>
    <xf numFmtId="0" fontId="0" fillId="0" borderId="65" xfId="0" applyFill="1" applyBorder="1" applyAlignment="1" applyProtection="1">
      <alignment horizontal="left" vertical="center" indent="1"/>
      <protection hidden="1"/>
    </xf>
    <xf numFmtId="0" fontId="0" fillId="0" borderId="18" xfId="0" applyFill="1" applyBorder="1" applyAlignment="1" applyProtection="1">
      <alignment horizontal="left" vertical="center" indent="1"/>
      <protection hidden="1"/>
    </xf>
    <xf numFmtId="0" fontId="0" fillId="0" borderId="20" xfId="0" applyFill="1" applyBorder="1" applyAlignment="1" applyProtection="1">
      <alignment horizontal="left" vertical="center" indent="1"/>
      <protection hidden="1"/>
    </xf>
    <xf numFmtId="0" fontId="0" fillId="0" borderId="74" xfId="0" applyFont="1" applyFill="1" applyBorder="1" applyAlignment="1" applyProtection="1">
      <alignment horizontal="left" vertical="center" wrapText="1" indent="1"/>
      <protection hidden="1"/>
    </xf>
    <xf numFmtId="0" fontId="0" fillId="0" borderId="38" xfId="0" applyFont="1" applyFill="1" applyBorder="1" applyAlignment="1" applyProtection="1">
      <alignment horizontal="left" vertical="center" wrapText="1" indent="1"/>
      <protection hidden="1"/>
    </xf>
    <xf numFmtId="0" fontId="0" fillId="0" borderId="26" xfId="0" applyFont="1" applyFill="1" applyBorder="1" applyAlignment="1" applyProtection="1">
      <alignment horizontal="left" vertical="center" wrapText="1" indent="1"/>
      <protection hidden="1"/>
    </xf>
    <xf numFmtId="0" fontId="0" fillId="0" borderId="65" xfId="0" applyFont="1" applyFill="1" applyBorder="1" applyAlignment="1" applyProtection="1">
      <alignment horizontal="left" vertical="center" wrapText="1" indent="1"/>
      <protection hidden="1"/>
    </xf>
    <xf numFmtId="0" fontId="0" fillId="0" borderId="18" xfId="0" applyFont="1" applyFill="1" applyBorder="1" applyAlignment="1" applyProtection="1">
      <alignment horizontal="left" vertical="center" wrapText="1" indent="1"/>
      <protection hidden="1"/>
    </xf>
    <xf numFmtId="0" fontId="0" fillId="0" borderId="20" xfId="0" applyFont="1" applyFill="1" applyBorder="1" applyAlignment="1" applyProtection="1">
      <alignment horizontal="left" vertical="center" wrapText="1" indent="1"/>
      <protection hidden="1"/>
    </xf>
    <xf numFmtId="0" fontId="0" fillId="0" borderId="74" xfId="0" applyFill="1" applyBorder="1" applyAlignment="1" applyProtection="1">
      <alignment horizontal="left" vertical="center" wrapText="1" indent="1"/>
      <protection hidden="1"/>
    </xf>
    <xf numFmtId="0" fontId="0" fillId="0" borderId="38" xfId="0" applyFill="1" applyBorder="1" applyAlignment="1" applyProtection="1">
      <alignment horizontal="left" vertical="center" wrapText="1" indent="1"/>
      <protection hidden="1"/>
    </xf>
    <xf numFmtId="0" fontId="0" fillId="0" borderId="26" xfId="0" applyFill="1" applyBorder="1" applyAlignment="1" applyProtection="1">
      <alignment horizontal="left" vertical="center" wrapText="1" indent="1"/>
      <protection hidden="1"/>
    </xf>
    <xf numFmtId="0" fontId="0" fillId="0" borderId="65" xfId="0" applyFill="1" applyBorder="1" applyAlignment="1" applyProtection="1">
      <alignment horizontal="left" vertical="center" wrapText="1" indent="1"/>
      <protection hidden="1"/>
    </xf>
    <xf numFmtId="0" fontId="0" fillId="0" borderId="18" xfId="0" applyFill="1" applyBorder="1" applyAlignment="1" applyProtection="1">
      <alignment horizontal="left" vertical="center" wrapText="1" indent="1"/>
      <protection hidden="1"/>
    </xf>
    <xf numFmtId="0" fontId="0" fillId="0" borderId="20" xfId="0" applyFill="1" applyBorder="1" applyAlignment="1" applyProtection="1">
      <alignment horizontal="left" vertical="center" wrapText="1" indent="1"/>
      <protection hidden="1"/>
    </xf>
    <xf numFmtId="0" fontId="0" fillId="0" borderId="35" xfId="0" applyFill="1" applyBorder="1" applyAlignment="1" applyProtection="1">
      <alignment horizontal="left" vertical="center" wrapText="1" indent="1"/>
      <protection hidden="1"/>
    </xf>
    <xf numFmtId="0" fontId="0" fillId="0" borderId="0" xfId="0" applyFill="1" applyBorder="1" applyAlignment="1" applyProtection="1">
      <alignment horizontal="left" vertical="center" wrapText="1" indent="1"/>
      <protection hidden="1"/>
    </xf>
    <xf numFmtId="0" fontId="0" fillId="0" borderId="25" xfId="0" applyFill="1" applyBorder="1" applyAlignment="1" applyProtection="1">
      <alignment horizontal="left" vertical="center" wrapText="1" indent="1"/>
      <protection hidden="1"/>
    </xf>
    <xf numFmtId="0" fontId="0" fillId="0" borderId="6" xfId="0" applyBorder="1" applyAlignment="1" applyProtection="1">
      <alignment horizontal="left" vertical="center" wrapText="1" indent="1"/>
      <protection hidden="1"/>
    </xf>
    <xf numFmtId="0" fontId="0" fillId="0" borderId="34" xfId="0" applyBorder="1" applyAlignment="1" applyProtection="1">
      <alignment horizontal="left" vertical="center" wrapText="1" indent="1"/>
      <protection hidden="1"/>
    </xf>
    <xf numFmtId="0" fontId="0" fillId="0" borderId="37" xfId="0" applyBorder="1" applyAlignment="1" applyProtection="1">
      <alignment horizontal="left" vertical="center" wrapText="1" indent="1"/>
      <protection hidden="1"/>
    </xf>
    <xf numFmtId="0" fontId="0" fillId="0" borderId="6" xfId="0" applyFill="1" applyBorder="1" applyAlignment="1" applyProtection="1">
      <alignment horizontal="left" vertical="center" wrapText="1" indent="1"/>
      <protection hidden="1"/>
    </xf>
    <xf numFmtId="0" fontId="0" fillId="0" borderId="34" xfId="0" applyFill="1" applyBorder="1" applyAlignment="1" applyProtection="1">
      <alignment horizontal="left" vertical="center" wrapText="1" indent="1"/>
      <protection hidden="1"/>
    </xf>
    <xf numFmtId="0" fontId="0" fillId="0" borderId="37" xfId="0" applyFill="1" applyBorder="1" applyAlignment="1" applyProtection="1">
      <alignment horizontal="left" vertical="center" wrapText="1" indent="1"/>
      <protection hidden="1"/>
    </xf>
    <xf numFmtId="0" fontId="0" fillId="0" borderId="74" xfId="0" applyFill="1" applyBorder="1" applyAlignment="1" applyProtection="1">
      <alignment horizontal="left" wrapText="1" indent="1"/>
      <protection hidden="1"/>
    </xf>
    <xf numFmtId="0" fontId="0" fillId="0" borderId="38" xfId="0" applyFill="1" applyBorder="1" applyAlignment="1" applyProtection="1">
      <alignment horizontal="left" wrapText="1" indent="1"/>
      <protection hidden="1"/>
    </xf>
    <xf numFmtId="0" fontId="0" fillId="0" borderId="26" xfId="0" applyFill="1" applyBorder="1" applyAlignment="1" applyProtection="1">
      <alignment horizontal="left" wrapText="1" indent="1"/>
      <protection hidden="1"/>
    </xf>
    <xf numFmtId="0" fontId="0" fillId="0" borderId="65" xfId="0" applyFill="1" applyBorder="1" applyAlignment="1" applyProtection="1">
      <alignment horizontal="left" wrapText="1" indent="1"/>
      <protection hidden="1"/>
    </xf>
    <xf numFmtId="0" fontId="0" fillId="0" borderId="18" xfId="0" applyFill="1" applyBorder="1" applyAlignment="1" applyProtection="1">
      <alignment horizontal="left" wrapText="1" indent="1"/>
      <protection hidden="1"/>
    </xf>
    <xf numFmtId="0" fontId="0" fillId="0" borderId="20" xfId="0" applyFill="1" applyBorder="1" applyAlignment="1" applyProtection="1">
      <alignment horizontal="left" wrapText="1" indent="1"/>
      <protection hidden="1"/>
    </xf>
    <xf numFmtId="0" fontId="35" fillId="0" borderId="40" xfId="0" applyFont="1" applyBorder="1" applyAlignment="1" applyProtection="1">
      <alignment horizontal="center" vertical="center" wrapText="1"/>
      <protection hidden="1"/>
    </xf>
    <xf numFmtId="0" fontId="35" fillId="0" borderId="48" xfId="0" applyFont="1" applyBorder="1" applyAlignment="1" applyProtection="1">
      <alignment horizontal="center" vertical="center" wrapText="1"/>
      <protection hidden="1"/>
    </xf>
    <xf numFmtId="0" fontId="35" fillId="0" borderId="67" xfId="0" applyFont="1" applyBorder="1" applyAlignment="1" applyProtection="1">
      <alignment horizontal="center" vertical="center" wrapText="1"/>
      <protection hidden="1"/>
    </xf>
    <xf numFmtId="0" fontId="0" fillId="0" borderId="6" xfId="0" applyFont="1" applyFill="1" applyBorder="1" applyAlignment="1" applyProtection="1">
      <alignment horizontal="left" vertical="center" wrapText="1" indent="1"/>
      <protection hidden="1"/>
    </xf>
    <xf numFmtId="0" fontId="0" fillId="0" borderId="34" xfId="0" applyFont="1" applyFill="1" applyBorder="1" applyAlignment="1" applyProtection="1">
      <alignment horizontal="left" vertical="center" wrapText="1" indent="1"/>
      <protection hidden="1"/>
    </xf>
    <xf numFmtId="0" fontId="0" fillId="0" borderId="37" xfId="0" applyFont="1" applyFill="1" applyBorder="1" applyAlignment="1" applyProtection="1">
      <alignment horizontal="left" vertical="center" wrapText="1" indent="1"/>
      <protection hidden="1"/>
    </xf>
    <xf numFmtId="0" fontId="0" fillId="0" borderId="74" xfId="0" applyBorder="1" applyAlignment="1" applyProtection="1">
      <alignment horizontal="left" vertical="center" wrapText="1" indent="1"/>
      <protection hidden="1"/>
    </xf>
    <xf numFmtId="0" fontId="0" fillId="0" borderId="26" xfId="0" applyBorder="1" applyAlignment="1" applyProtection="1">
      <alignment horizontal="left" vertical="center" wrapText="1" indent="1"/>
      <protection hidden="1"/>
    </xf>
    <xf numFmtId="0" fontId="0" fillId="0" borderId="65" xfId="0" applyBorder="1" applyAlignment="1" applyProtection="1">
      <alignment horizontal="left" vertical="center" wrapText="1" indent="1"/>
      <protection hidden="1"/>
    </xf>
    <xf numFmtId="0" fontId="0" fillId="0" borderId="20" xfId="0" applyBorder="1" applyAlignment="1" applyProtection="1">
      <alignment horizontal="left" vertical="center" wrapText="1" indent="1"/>
      <protection hidden="1"/>
    </xf>
    <xf numFmtId="0" fontId="0" fillId="0" borderId="38" xfId="0" applyBorder="1" applyAlignment="1" applyProtection="1">
      <alignment horizontal="left" vertical="center" wrapText="1" indent="1"/>
      <protection hidden="1"/>
    </xf>
    <xf numFmtId="0" fontId="0" fillId="0" borderId="18" xfId="0" applyBorder="1" applyAlignment="1" applyProtection="1">
      <alignment horizontal="left" vertical="center" wrapText="1" indent="1"/>
      <protection hidden="1"/>
    </xf>
    <xf numFmtId="0" fontId="0" fillId="7" borderId="74" xfId="0" applyFill="1" applyBorder="1" applyAlignment="1" applyProtection="1">
      <alignment horizontal="left" vertical="top" wrapText="1" indent="1"/>
      <protection hidden="1"/>
    </xf>
    <xf numFmtId="0" fontId="0" fillId="7" borderId="38" xfId="0" applyFill="1" applyBorder="1" applyAlignment="1" applyProtection="1">
      <alignment horizontal="left" vertical="top" wrapText="1" indent="1"/>
      <protection hidden="1"/>
    </xf>
    <xf numFmtId="0" fontId="0" fillId="7" borderId="26" xfId="0" applyFill="1" applyBorder="1" applyAlignment="1" applyProtection="1">
      <alignment horizontal="left" vertical="top" wrapText="1" indent="1"/>
      <protection hidden="1"/>
    </xf>
    <xf numFmtId="0" fontId="0" fillId="7" borderId="35" xfId="0" applyFill="1" applyBorder="1" applyAlignment="1" applyProtection="1">
      <alignment horizontal="left" vertical="top" wrapText="1" indent="1"/>
      <protection hidden="1"/>
    </xf>
    <xf numFmtId="0" fontId="0" fillId="7" borderId="0" xfId="0" applyFill="1" applyBorder="1" applyAlignment="1" applyProtection="1">
      <alignment horizontal="left" vertical="top" wrapText="1" indent="1"/>
      <protection hidden="1"/>
    </xf>
    <xf numFmtId="0" fontId="0" fillId="7" borderId="25" xfId="0" applyFill="1" applyBorder="1" applyAlignment="1" applyProtection="1">
      <alignment horizontal="left" vertical="top" wrapText="1" indent="1"/>
      <protection hidden="1"/>
    </xf>
    <xf numFmtId="0" fontId="0" fillId="7" borderId="65" xfId="0" applyFill="1" applyBorder="1" applyAlignment="1" applyProtection="1">
      <alignment horizontal="left" vertical="top" wrapText="1" indent="1"/>
      <protection hidden="1"/>
    </xf>
    <xf numFmtId="0" fontId="0" fillId="7" borderId="18" xfId="0" applyFill="1" applyBorder="1" applyAlignment="1" applyProtection="1">
      <alignment horizontal="left" vertical="top" wrapText="1" indent="1"/>
      <protection hidden="1"/>
    </xf>
    <xf numFmtId="0" fontId="0" fillId="7" borderId="20" xfId="0" applyFill="1" applyBorder="1" applyAlignment="1" applyProtection="1">
      <alignment horizontal="left" vertical="top" wrapText="1" indent="1"/>
      <protection hidden="1"/>
    </xf>
    <xf numFmtId="0" fontId="0" fillId="0" borderId="74" xfId="0" applyFont="1" applyFill="1" applyBorder="1" applyAlignment="1" applyProtection="1">
      <alignment horizontal="left" vertical="center" indent="1"/>
      <protection hidden="1"/>
    </xf>
    <xf numFmtId="0" fontId="0" fillId="0" borderId="26" xfId="0" applyFont="1" applyFill="1" applyBorder="1" applyAlignment="1" applyProtection="1">
      <alignment horizontal="left" vertical="center" indent="1"/>
      <protection hidden="1"/>
    </xf>
    <xf numFmtId="0" fontId="0" fillId="0" borderId="65" xfId="0" applyFont="1" applyFill="1" applyBorder="1" applyAlignment="1" applyProtection="1">
      <alignment horizontal="left" vertical="center" indent="1"/>
      <protection hidden="1"/>
    </xf>
    <xf numFmtId="0" fontId="0" fillId="0" borderId="20" xfId="0" applyFont="1" applyFill="1" applyBorder="1" applyAlignment="1" applyProtection="1">
      <alignment horizontal="left" vertical="center" indent="1"/>
      <protection hidden="1"/>
    </xf>
    <xf numFmtId="0" fontId="0" fillId="0" borderId="35" xfId="0" applyFont="1" applyFill="1" applyBorder="1" applyAlignment="1" applyProtection="1">
      <alignment horizontal="left" vertical="center" indent="1"/>
      <protection hidden="1"/>
    </xf>
    <xf numFmtId="0" fontId="0" fillId="0" borderId="25" xfId="0" applyFont="1" applyFill="1" applyBorder="1" applyAlignment="1" applyProtection="1">
      <alignment horizontal="left" vertical="center" indent="1"/>
      <protection hidden="1"/>
    </xf>
    <xf numFmtId="0" fontId="35" fillId="0" borderId="40" xfId="0" applyFont="1" applyFill="1" applyBorder="1" applyAlignment="1" applyProtection="1">
      <alignment horizontal="center" vertical="center" wrapText="1"/>
      <protection hidden="1"/>
    </xf>
    <xf numFmtId="0" fontId="35" fillId="0" borderId="48" xfId="0" applyFont="1" applyFill="1" applyBorder="1" applyAlignment="1" applyProtection="1">
      <alignment horizontal="center" vertical="center" wrapText="1"/>
      <protection hidden="1"/>
    </xf>
    <xf numFmtId="0" fontId="35" fillId="0" borderId="67" xfId="0" applyFont="1" applyFill="1" applyBorder="1" applyAlignment="1" applyProtection="1">
      <alignment horizontal="center" vertical="center" wrapText="1"/>
      <protection hidden="1"/>
    </xf>
    <xf numFmtId="0" fontId="5" fillId="0" borderId="0" xfId="1" applyFont="1" applyFill="1" applyBorder="1" applyAlignment="1" applyProtection="1">
      <alignment horizontal="center" vertical="center"/>
      <protection hidden="1"/>
    </xf>
    <xf numFmtId="0" fontId="49" fillId="0" borderId="22" xfId="0" applyFont="1" applyBorder="1" applyAlignment="1" applyProtection="1">
      <alignment horizontal="center"/>
    </xf>
    <xf numFmtId="0" fontId="49" fillId="0" borderId="23" xfId="0" applyFont="1" applyBorder="1" applyAlignment="1" applyProtection="1">
      <alignment horizontal="center"/>
    </xf>
    <xf numFmtId="10" fontId="17" fillId="4" borderId="0" xfId="3" applyNumberFormat="1" applyFont="1" applyFill="1" applyBorder="1" applyAlignment="1" applyProtection="1">
      <alignment horizontal="center" vertical="center"/>
    </xf>
    <xf numFmtId="166" fontId="0" fillId="4" borderId="35" xfId="0" applyNumberFormat="1" applyFont="1" applyFill="1" applyBorder="1" applyAlignment="1" applyProtection="1">
      <alignment horizontal="center" vertical="center"/>
    </xf>
    <xf numFmtId="166" fontId="0" fillId="4" borderId="25" xfId="0" applyNumberFormat="1" applyFont="1" applyFill="1" applyBorder="1" applyAlignment="1" applyProtection="1">
      <alignment horizontal="center" vertical="center"/>
    </xf>
    <xf numFmtId="166" fontId="0" fillId="4" borderId="0" xfId="0" applyNumberFormat="1" applyFont="1" applyFill="1" applyBorder="1" applyAlignment="1" applyProtection="1">
      <alignment horizontal="center" vertical="center"/>
    </xf>
    <xf numFmtId="10" fontId="13" fillId="4" borderId="5" xfId="3" applyNumberFormat="1" applyFont="1" applyFill="1" applyBorder="1" applyAlignment="1" applyProtection="1">
      <alignment horizontal="center" vertical="center"/>
    </xf>
    <xf numFmtId="166" fontId="0" fillId="4" borderId="44" xfId="0" applyNumberFormat="1" applyFont="1" applyFill="1" applyBorder="1" applyAlignment="1" applyProtection="1">
      <alignment horizontal="center" vertical="center"/>
    </xf>
    <xf numFmtId="166" fontId="0" fillId="4" borderId="33" xfId="0" applyNumberFormat="1" applyFont="1" applyFill="1" applyBorder="1" applyAlignment="1" applyProtection="1">
      <alignment horizontal="center" vertical="center"/>
    </xf>
    <xf numFmtId="166" fontId="0" fillId="4" borderId="5" xfId="0" applyNumberFormat="1" applyFont="1" applyFill="1" applyBorder="1" applyAlignment="1" applyProtection="1">
      <alignment horizontal="center" vertical="center"/>
    </xf>
    <xf numFmtId="0" fontId="0" fillId="12" borderId="15" xfId="0" applyFill="1" applyBorder="1" applyAlignment="1" applyProtection="1">
      <alignment horizontal="center" vertical="center"/>
    </xf>
    <xf numFmtId="0" fontId="0" fillId="12" borderId="4" xfId="0" applyFill="1" applyBorder="1" applyAlignment="1" applyProtection="1">
      <alignment horizontal="center" vertical="center"/>
    </xf>
    <xf numFmtId="169" fontId="0" fillId="4" borderId="19" xfId="0" applyNumberFormat="1" applyFont="1" applyFill="1" applyBorder="1" applyAlignment="1" applyProtection="1">
      <alignment horizontal="center" vertical="center"/>
    </xf>
    <xf numFmtId="169" fontId="0" fillId="4" borderId="39" xfId="0" applyNumberFormat="1" applyFont="1" applyFill="1" applyBorder="1" applyAlignment="1" applyProtection="1">
      <alignment horizontal="center" vertical="center"/>
    </xf>
    <xf numFmtId="10" fontId="0" fillId="4" borderId="19" xfId="0" applyNumberFormat="1" applyFont="1" applyFill="1" applyBorder="1" applyAlignment="1" applyProtection="1">
      <alignment horizontal="center" vertical="center"/>
    </xf>
    <xf numFmtId="10" fontId="0" fillId="4" borderId="39" xfId="0" applyNumberFormat="1" applyFont="1" applyFill="1" applyBorder="1" applyAlignment="1" applyProtection="1">
      <alignment horizontal="center" vertical="center"/>
    </xf>
    <xf numFmtId="169" fontId="0" fillId="4" borderId="24" xfId="0" applyNumberFormat="1" applyFont="1" applyFill="1" applyBorder="1" applyAlignment="1" applyProtection="1">
      <alignment horizontal="center" vertical="center"/>
    </xf>
    <xf numFmtId="169" fontId="0" fillId="4" borderId="36" xfId="0" applyNumberFormat="1" applyFont="1" applyFill="1" applyBorder="1" applyAlignment="1" applyProtection="1">
      <alignment horizontal="center" vertical="center"/>
    </xf>
    <xf numFmtId="10" fontId="0" fillId="4" borderId="24" xfId="0" applyNumberFormat="1" applyFont="1" applyFill="1" applyBorder="1" applyAlignment="1" applyProtection="1">
      <alignment horizontal="center" vertical="center"/>
    </xf>
    <xf numFmtId="10" fontId="0" fillId="4" borderId="36" xfId="0" applyNumberFormat="1" applyFont="1" applyFill="1" applyBorder="1" applyAlignment="1" applyProtection="1">
      <alignment horizontal="center" vertical="center"/>
    </xf>
    <xf numFmtId="0" fontId="0" fillId="0" borderId="0" xfId="0" applyAlignment="1" applyProtection="1">
      <alignment horizontal="left" vertical="top" wrapText="1"/>
    </xf>
    <xf numFmtId="10" fontId="17" fillId="4" borderId="22" xfId="3" applyNumberFormat="1" applyFont="1" applyFill="1" applyBorder="1" applyAlignment="1" applyProtection="1">
      <alignment horizontal="center" vertical="center"/>
    </xf>
    <xf numFmtId="10" fontId="0" fillId="4" borderId="35" xfId="0" applyNumberFormat="1" applyFont="1" applyFill="1" applyBorder="1" applyAlignment="1" applyProtection="1">
      <alignment horizontal="center" vertical="center"/>
    </xf>
    <xf numFmtId="10" fontId="0" fillId="4" borderId="0" xfId="0" applyNumberFormat="1" applyFont="1" applyFill="1" applyBorder="1" applyAlignment="1" applyProtection="1">
      <alignment horizontal="center" vertical="center"/>
    </xf>
    <xf numFmtId="10" fontId="0" fillId="4" borderId="44" xfId="0" applyNumberFormat="1" applyFont="1" applyFill="1" applyBorder="1" applyAlignment="1" applyProtection="1">
      <alignment horizontal="center" vertical="center"/>
    </xf>
    <xf numFmtId="10" fontId="0" fillId="4" borderId="5" xfId="0" applyNumberFormat="1" applyFont="1" applyFill="1" applyBorder="1" applyAlignment="1" applyProtection="1">
      <alignment horizontal="center" vertical="center"/>
    </xf>
    <xf numFmtId="0" fontId="0" fillId="12" borderId="19" xfId="0" applyFont="1" applyFill="1" applyBorder="1" applyAlignment="1" applyProtection="1">
      <alignment horizontal="center" vertical="center"/>
    </xf>
    <xf numFmtId="0" fontId="0" fillId="12" borderId="25" xfId="0" applyFont="1" applyFill="1" applyBorder="1" applyAlignment="1" applyProtection="1">
      <alignment horizontal="center" vertical="center"/>
    </xf>
    <xf numFmtId="0" fontId="0" fillId="12" borderId="3" xfId="0" applyFill="1" applyBorder="1" applyAlignment="1" applyProtection="1">
      <alignment horizontal="center" vertical="center"/>
    </xf>
    <xf numFmtId="0" fontId="0" fillId="12" borderId="42" xfId="0" applyFont="1" applyFill="1" applyBorder="1" applyAlignment="1" applyProtection="1">
      <alignment horizontal="center" vertical="center"/>
    </xf>
    <xf numFmtId="0" fontId="0" fillId="12" borderId="20" xfId="0" applyFont="1" applyFill="1" applyBorder="1" applyAlignment="1" applyProtection="1">
      <alignment horizontal="center" vertical="center"/>
    </xf>
    <xf numFmtId="0" fontId="0" fillId="12" borderId="32" xfId="0" applyFont="1" applyFill="1" applyBorder="1" applyAlignment="1" applyProtection="1">
      <alignment horizontal="left" vertical="center" wrapText="1" indent="1"/>
    </xf>
    <xf numFmtId="0" fontId="0" fillId="12" borderId="22" xfId="0" applyFont="1" applyFill="1" applyBorder="1" applyAlignment="1" applyProtection="1">
      <alignment horizontal="left" vertical="center" wrapText="1" indent="1"/>
    </xf>
    <xf numFmtId="0" fontId="44" fillId="12" borderId="19" xfId="0" applyFont="1" applyFill="1" applyBorder="1" applyAlignment="1" applyProtection="1">
      <alignment horizontal="left" vertical="center" wrapText="1" indent="1"/>
    </xf>
    <xf numFmtId="0" fontId="44" fillId="12" borderId="0" xfId="0" applyFont="1" applyFill="1" applyBorder="1" applyAlignment="1" applyProtection="1">
      <alignment horizontal="left" vertical="center" wrapText="1" indent="1"/>
    </xf>
    <xf numFmtId="0" fontId="22" fillId="14" borderId="32" xfId="0" applyFont="1" applyFill="1" applyBorder="1" applyAlignment="1" applyProtection="1">
      <alignment horizontal="center" vertical="center"/>
    </xf>
    <xf numFmtId="0" fontId="22" fillId="14" borderId="22" xfId="0" applyFont="1" applyFill="1" applyBorder="1" applyAlignment="1" applyProtection="1">
      <alignment horizontal="center" vertical="center"/>
    </xf>
    <xf numFmtId="0" fontId="22" fillId="14" borderId="23" xfId="0" applyFont="1" applyFill="1" applyBorder="1" applyAlignment="1" applyProtection="1">
      <alignment horizontal="center" vertical="center"/>
    </xf>
    <xf numFmtId="0" fontId="0" fillId="12" borderId="42" xfId="0" applyFont="1" applyFill="1" applyBorder="1" applyAlignment="1" applyProtection="1">
      <alignment horizontal="left" vertical="center" wrapText="1" indent="1"/>
    </xf>
    <xf numFmtId="0" fontId="0" fillId="12" borderId="18" xfId="0" applyFont="1" applyFill="1" applyBorder="1" applyAlignment="1" applyProtection="1">
      <alignment horizontal="left" vertical="center" wrapText="1" indent="1"/>
    </xf>
    <xf numFmtId="0" fontId="0" fillId="12" borderId="32" xfId="0" applyFont="1" applyFill="1" applyBorder="1" applyAlignment="1" applyProtection="1">
      <alignment horizontal="center" vertical="center"/>
    </xf>
    <xf numFmtId="0" fontId="0" fillId="12" borderId="68" xfId="0" applyFont="1" applyFill="1" applyBorder="1" applyAlignment="1" applyProtection="1">
      <alignment horizontal="center" vertical="center"/>
    </xf>
    <xf numFmtId="0" fontId="1" fillId="12" borderId="15" xfId="0" applyFont="1" applyFill="1" applyBorder="1" applyAlignment="1" applyProtection="1">
      <alignment horizontal="center" vertical="center" wrapText="1"/>
    </xf>
    <xf numFmtId="0" fontId="1" fillId="12" borderId="3" xfId="0" applyFont="1" applyFill="1" applyBorder="1" applyAlignment="1" applyProtection="1">
      <alignment horizontal="center" vertical="center" wrapText="1"/>
    </xf>
    <xf numFmtId="0" fontId="1" fillId="12" borderId="4" xfId="0" applyFont="1" applyFill="1" applyBorder="1" applyAlignment="1" applyProtection="1">
      <alignment horizontal="center" vertical="center" wrapText="1"/>
    </xf>
    <xf numFmtId="169" fontId="43" fillId="0" borderId="0" xfId="0" applyNumberFormat="1" applyFont="1" applyFill="1" applyBorder="1" applyAlignment="1" applyProtection="1">
      <alignment horizontal="center" vertical="center" wrapText="1"/>
    </xf>
    <xf numFmtId="169" fontId="43" fillId="0" borderId="5" xfId="0" applyNumberFormat="1" applyFont="1" applyFill="1" applyBorder="1" applyAlignment="1" applyProtection="1">
      <alignment horizontal="center" vertical="center" wrapText="1"/>
    </xf>
    <xf numFmtId="10" fontId="17" fillId="4" borderId="5" xfId="3" applyNumberFormat="1" applyFont="1" applyFill="1" applyBorder="1" applyAlignment="1" applyProtection="1">
      <alignment horizontal="center" vertical="center"/>
    </xf>
    <xf numFmtId="1" fontId="0" fillId="5" borderId="0" xfId="0" applyNumberFormat="1" applyFont="1" applyFill="1" applyBorder="1" applyAlignment="1" applyProtection="1">
      <alignment horizontal="center" vertical="center"/>
    </xf>
    <xf numFmtId="166" fontId="0" fillId="4" borderId="22" xfId="0" applyNumberFormat="1" applyFont="1" applyFill="1" applyBorder="1" applyAlignment="1" applyProtection="1">
      <alignment horizontal="center" vertical="center"/>
    </xf>
    <xf numFmtId="166" fontId="0" fillId="4" borderId="64" xfId="0" applyNumberFormat="1" applyFont="1" applyFill="1" applyBorder="1" applyAlignment="1" applyProtection="1">
      <alignment horizontal="center" vertical="center"/>
    </xf>
    <xf numFmtId="166" fontId="0" fillId="4" borderId="68" xfId="0" applyNumberFormat="1" applyFont="1" applyFill="1" applyBorder="1" applyAlignment="1" applyProtection="1">
      <alignment horizontal="center" vertical="center"/>
    </xf>
    <xf numFmtId="0" fontId="0" fillId="12" borderId="24" xfId="0" applyFont="1" applyFill="1" applyBorder="1" applyAlignment="1" applyProtection="1">
      <alignment horizontal="center" vertical="center"/>
    </xf>
    <xf numFmtId="0" fontId="0" fillId="12" borderId="33" xfId="0" applyFont="1" applyFill="1" applyBorder="1" applyAlignment="1" applyProtection="1">
      <alignment horizontal="center" vertical="center"/>
    </xf>
    <xf numFmtId="0" fontId="0" fillId="12" borderId="0" xfId="0" applyFont="1" applyFill="1" applyBorder="1" applyAlignment="1" applyProtection="1">
      <alignment horizontal="center" vertical="center"/>
    </xf>
    <xf numFmtId="0" fontId="0" fillId="12" borderId="5" xfId="0" applyFont="1" applyFill="1" applyBorder="1" applyAlignment="1" applyProtection="1">
      <alignment horizontal="center" vertical="center"/>
    </xf>
    <xf numFmtId="0" fontId="1" fillId="4" borderId="15" xfId="0" applyFont="1" applyFill="1" applyBorder="1" applyAlignment="1" applyProtection="1">
      <alignment horizontal="center"/>
    </xf>
    <xf numFmtId="0" fontId="1" fillId="4" borderId="4" xfId="0" applyFont="1" applyFill="1" applyBorder="1" applyAlignment="1" applyProtection="1">
      <alignment horizontal="center"/>
    </xf>
    <xf numFmtId="0" fontId="1" fillId="12" borderId="72" xfId="0" applyFont="1" applyFill="1" applyBorder="1" applyAlignment="1" applyProtection="1">
      <alignment horizontal="center" vertical="center"/>
    </xf>
    <xf numFmtId="0" fontId="1" fillId="12" borderId="3" xfId="0" applyFont="1" applyFill="1" applyBorder="1" applyAlignment="1" applyProtection="1">
      <alignment horizontal="center" vertical="center"/>
    </xf>
    <xf numFmtId="0" fontId="1" fillId="12" borderId="73" xfId="0" applyFont="1" applyFill="1" applyBorder="1" applyAlignment="1" applyProtection="1">
      <alignment horizontal="center" vertical="center"/>
    </xf>
    <xf numFmtId="0" fontId="0" fillId="12" borderId="24" xfId="0" applyFont="1" applyFill="1" applyBorder="1" applyAlignment="1" applyProtection="1">
      <alignment horizontal="left" vertical="center" indent="1"/>
    </xf>
    <xf numFmtId="0" fontId="0" fillId="12" borderId="5" xfId="0" applyFont="1" applyFill="1" applyBorder="1" applyAlignment="1" applyProtection="1">
      <alignment horizontal="left" vertical="center" indent="1"/>
    </xf>
    <xf numFmtId="0" fontId="0" fillId="12" borderId="33" xfId="0" applyFont="1" applyFill="1" applyBorder="1" applyAlignment="1" applyProtection="1">
      <alignment horizontal="left" vertical="center" indent="1"/>
    </xf>
    <xf numFmtId="0" fontId="0" fillId="12" borderId="15" xfId="0" applyFont="1" applyFill="1" applyBorder="1" applyAlignment="1" applyProtection="1">
      <alignment horizontal="center" vertical="center" wrapText="1"/>
    </xf>
    <xf numFmtId="0" fontId="0" fillId="12" borderId="4" xfId="0" applyFont="1" applyFill="1" applyBorder="1" applyAlignment="1" applyProtection="1">
      <alignment horizontal="center" vertical="center" wrapText="1"/>
    </xf>
    <xf numFmtId="169" fontId="13" fillId="5" borderId="35" xfId="0" applyNumberFormat="1" applyFont="1" applyFill="1" applyBorder="1" applyAlignment="1" applyProtection="1">
      <alignment horizontal="center" vertical="center"/>
    </xf>
    <xf numFmtId="169" fontId="13" fillId="5" borderId="39" xfId="0" applyNumberFormat="1" applyFont="1" applyFill="1" applyBorder="1" applyAlignment="1" applyProtection="1">
      <alignment horizontal="center" vertical="center"/>
    </xf>
    <xf numFmtId="169" fontId="0" fillId="5" borderId="35" xfId="0" applyNumberFormat="1" applyFont="1" applyFill="1" applyBorder="1" applyAlignment="1" applyProtection="1">
      <alignment horizontal="center" vertical="center"/>
    </xf>
    <xf numFmtId="169" fontId="0" fillId="5" borderId="39" xfId="0" applyNumberFormat="1" applyFont="1" applyFill="1" applyBorder="1" applyAlignment="1" applyProtection="1">
      <alignment horizontal="center" vertical="center"/>
    </xf>
    <xf numFmtId="0" fontId="1" fillId="12" borderId="10" xfId="0" quotePrefix="1" applyFont="1" applyFill="1" applyBorder="1" applyAlignment="1" applyProtection="1">
      <alignment horizontal="center" vertical="center"/>
    </xf>
    <xf numFmtId="0" fontId="1" fillId="12" borderId="11" xfId="0" quotePrefix="1" applyFont="1" applyFill="1" applyBorder="1" applyAlignment="1" applyProtection="1">
      <alignment horizontal="center" vertical="center"/>
    </xf>
    <xf numFmtId="166" fontId="0" fillId="2" borderId="5" xfId="0" applyNumberFormat="1" applyFill="1" applyBorder="1" applyAlignment="1" applyProtection="1">
      <alignment horizontal="center" vertical="center"/>
    </xf>
    <xf numFmtId="0" fontId="1" fillId="12" borderId="27" xfId="0" quotePrefix="1" applyFont="1" applyFill="1" applyBorder="1" applyAlignment="1" applyProtection="1">
      <alignment horizontal="center" vertical="center"/>
    </xf>
    <xf numFmtId="183" fontId="0" fillId="4" borderId="24" xfId="0" applyNumberFormat="1" applyFill="1" applyBorder="1" applyAlignment="1" applyProtection="1">
      <alignment horizontal="center" vertical="center"/>
    </xf>
    <xf numFmtId="183" fontId="0" fillId="4" borderId="36" xfId="0" applyNumberFormat="1" applyFill="1" applyBorder="1" applyAlignment="1" applyProtection="1">
      <alignment horizontal="center" vertical="center"/>
    </xf>
    <xf numFmtId="195" fontId="0" fillId="5" borderId="44" xfId="0" applyNumberFormat="1" applyFill="1" applyBorder="1" applyAlignment="1" applyProtection="1">
      <alignment horizontal="center" vertical="center"/>
    </xf>
    <xf numFmtId="195" fontId="0" fillId="5" borderId="36" xfId="0" applyNumberFormat="1" applyFill="1" applyBorder="1" applyAlignment="1" applyProtection="1">
      <alignment horizontal="center" vertical="center"/>
    </xf>
    <xf numFmtId="169" fontId="13" fillId="5" borderId="25" xfId="0" applyNumberFormat="1" applyFont="1" applyFill="1" applyBorder="1" applyAlignment="1" applyProtection="1">
      <alignment horizontal="center" vertical="center"/>
    </xf>
    <xf numFmtId="0" fontId="36" fillId="14" borderId="15" xfId="0" applyFont="1" applyFill="1" applyBorder="1" applyAlignment="1" applyProtection="1">
      <alignment horizontal="center" vertical="center"/>
    </xf>
    <xf numFmtId="0" fontId="36" fillId="14" borderId="3" xfId="0" applyFont="1" applyFill="1" applyBorder="1" applyAlignment="1" applyProtection="1">
      <alignment horizontal="center" vertical="center"/>
    </xf>
    <xf numFmtId="0" fontId="36" fillId="14" borderId="4" xfId="0" applyFont="1" applyFill="1" applyBorder="1" applyAlignment="1" applyProtection="1">
      <alignment horizontal="center" vertical="center"/>
    </xf>
    <xf numFmtId="178" fontId="0" fillId="4" borderId="5" xfId="0" applyNumberFormat="1" applyFill="1" applyBorder="1" applyAlignment="1" applyProtection="1">
      <alignment horizontal="center" vertical="center"/>
    </xf>
    <xf numFmtId="178" fontId="0" fillId="4" borderId="36" xfId="0" applyNumberFormat="1" applyFill="1" applyBorder="1" applyAlignment="1" applyProtection="1">
      <alignment horizontal="center" vertical="center"/>
    </xf>
    <xf numFmtId="1" fontId="0" fillId="5" borderId="5" xfId="0" applyNumberFormat="1" applyFont="1" applyFill="1" applyBorder="1" applyAlignment="1" applyProtection="1">
      <alignment horizontal="center" vertical="center"/>
    </xf>
    <xf numFmtId="0" fontId="0" fillId="7" borderId="19" xfId="0" applyFont="1" applyFill="1" applyBorder="1" applyAlignment="1" applyProtection="1">
      <alignment horizontal="left" vertical="center" indent="1"/>
    </xf>
    <xf numFmtId="0" fontId="0" fillId="7" borderId="0" xfId="0" applyFont="1" applyFill="1" applyBorder="1" applyAlignment="1" applyProtection="1">
      <alignment horizontal="left" vertical="center" indent="1"/>
    </xf>
    <xf numFmtId="0" fontId="0" fillId="7" borderId="25" xfId="0" applyFont="1" applyFill="1" applyBorder="1" applyAlignment="1" applyProtection="1">
      <alignment horizontal="left" vertical="center" indent="1"/>
    </xf>
    <xf numFmtId="10" fontId="0" fillId="0" borderId="35" xfId="0" applyNumberFormat="1" applyFont="1" applyFill="1" applyBorder="1" applyAlignment="1" applyProtection="1">
      <alignment horizontal="center" vertical="center"/>
    </xf>
    <xf numFmtId="10" fontId="0" fillId="0" borderId="25" xfId="0" applyNumberFormat="1" applyFont="1" applyFill="1" applyBorder="1" applyAlignment="1" applyProtection="1">
      <alignment horizontal="center" vertical="center"/>
    </xf>
    <xf numFmtId="165" fontId="0" fillId="0" borderId="35" xfId="0" applyNumberFormat="1" applyFont="1" applyFill="1" applyBorder="1" applyAlignment="1" applyProtection="1">
      <alignment horizontal="center" vertical="center"/>
    </xf>
    <xf numFmtId="165" fontId="0" fillId="0" borderId="25" xfId="0" applyNumberFormat="1" applyFont="1" applyFill="1" applyBorder="1" applyAlignment="1" applyProtection="1">
      <alignment horizontal="center" vertical="center"/>
    </xf>
    <xf numFmtId="166" fontId="0" fillId="0" borderId="35" xfId="0" applyNumberFormat="1" applyFont="1" applyFill="1" applyBorder="1" applyAlignment="1" applyProtection="1">
      <alignment horizontal="center" vertical="center"/>
    </xf>
    <xf numFmtId="166" fontId="0" fillId="0" borderId="25" xfId="0" applyNumberFormat="1" applyFont="1" applyFill="1" applyBorder="1" applyAlignment="1" applyProtection="1">
      <alignment horizontal="center" vertical="center"/>
    </xf>
    <xf numFmtId="0" fontId="0" fillId="12" borderId="19" xfId="0" applyFont="1" applyFill="1" applyBorder="1" applyAlignment="1" applyProtection="1">
      <alignment horizontal="left" vertical="center" indent="1"/>
    </xf>
    <xf numFmtId="0" fontId="0" fillId="12" borderId="0" xfId="0" applyFont="1" applyFill="1" applyBorder="1" applyAlignment="1" applyProtection="1">
      <alignment horizontal="left" vertical="center" indent="1"/>
    </xf>
    <xf numFmtId="0" fontId="0" fillId="12" borderId="25" xfId="0" applyFont="1" applyFill="1" applyBorder="1" applyAlignment="1" applyProtection="1">
      <alignment horizontal="left" vertical="center" indent="1"/>
    </xf>
    <xf numFmtId="0" fontId="1" fillId="12" borderId="32" xfId="0" quotePrefix="1" applyFont="1" applyFill="1" applyBorder="1" applyAlignment="1" applyProtection="1">
      <alignment horizontal="right" vertical="center" indent="1"/>
    </xf>
    <xf numFmtId="0" fontId="1" fillId="12" borderId="22" xfId="0" quotePrefix="1" applyFont="1" applyFill="1" applyBorder="1" applyAlignment="1" applyProtection="1">
      <alignment horizontal="right" vertical="center" indent="1"/>
    </xf>
    <xf numFmtId="0" fontId="1" fillId="12" borderId="24" xfId="0" quotePrefix="1" applyFont="1" applyFill="1" applyBorder="1" applyAlignment="1" applyProtection="1">
      <alignment horizontal="right" vertical="center" indent="1"/>
    </xf>
    <xf numFmtId="0" fontId="1" fillId="12" borderId="5" xfId="0" quotePrefix="1" applyFont="1" applyFill="1" applyBorder="1" applyAlignment="1" applyProtection="1">
      <alignment horizontal="right" vertical="center" indent="1"/>
    </xf>
    <xf numFmtId="166" fontId="0" fillId="0" borderId="64" xfId="0" applyNumberFormat="1" applyFont="1" applyFill="1" applyBorder="1" applyAlignment="1" applyProtection="1">
      <alignment horizontal="center" vertical="center"/>
    </xf>
    <xf numFmtId="166" fontId="0" fillId="0" borderId="23" xfId="0" applyNumberFormat="1" applyFont="1" applyFill="1" applyBorder="1" applyAlignment="1" applyProtection="1">
      <alignment horizontal="center" vertical="center"/>
    </xf>
    <xf numFmtId="166" fontId="0" fillId="0" borderId="44" xfId="0" applyNumberFormat="1" applyFont="1" applyFill="1" applyBorder="1" applyAlignment="1" applyProtection="1">
      <alignment horizontal="center" vertical="center"/>
    </xf>
    <xf numFmtId="166" fontId="0" fillId="0" borderId="36" xfId="0" applyNumberFormat="1" applyFont="1" applyFill="1" applyBorder="1" applyAlignment="1" applyProtection="1">
      <alignment horizontal="center" vertical="center"/>
    </xf>
    <xf numFmtId="0" fontId="0" fillId="12" borderId="15" xfId="0" applyFont="1" applyFill="1" applyBorder="1" applyAlignment="1" applyProtection="1">
      <alignment horizontal="left" vertical="center" wrapText="1" indent="1"/>
    </xf>
    <xf numFmtId="0" fontId="0" fillId="12" borderId="3" xfId="0" applyFont="1" applyFill="1" applyBorder="1" applyAlignment="1" applyProtection="1">
      <alignment horizontal="left" vertical="center" wrapText="1" indent="1"/>
    </xf>
    <xf numFmtId="0" fontId="0" fillId="12" borderId="4" xfId="0" applyFont="1" applyFill="1" applyBorder="1" applyAlignment="1" applyProtection="1">
      <alignment horizontal="left" vertical="center" wrapText="1" indent="1"/>
    </xf>
    <xf numFmtId="167" fontId="0" fillId="0" borderId="35" xfId="0" applyNumberFormat="1" applyFont="1" applyFill="1" applyBorder="1" applyAlignment="1" applyProtection="1">
      <alignment horizontal="center" vertical="center"/>
    </xf>
    <xf numFmtId="167" fontId="0" fillId="0" borderId="25" xfId="0" applyNumberFormat="1" applyFont="1" applyFill="1" applyBorder="1" applyAlignment="1" applyProtection="1">
      <alignment horizontal="center" vertical="center"/>
    </xf>
    <xf numFmtId="180" fontId="0" fillId="5" borderId="35" xfId="0" applyNumberFormat="1" applyFill="1" applyBorder="1" applyAlignment="1" applyProtection="1">
      <alignment horizontal="center" vertical="center"/>
    </xf>
    <xf numFmtId="180" fontId="0" fillId="5" borderId="39" xfId="0" applyNumberFormat="1" applyFill="1" applyBorder="1" applyAlignment="1" applyProtection="1">
      <alignment horizontal="center" vertical="center"/>
    </xf>
    <xf numFmtId="186" fontId="0" fillId="5" borderId="35" xfId="0" applyNumberFormat="1" applyFill="1" applyBorder="1" applyAlignment="1" applyProtection="1">
      <alignment horizontal="center" vertical="center"/>
    </xf>
    <xf numFmtId="186" fontId="0" fillId="5" borderId="39" xfId="0" applyNumberFormat="1" applyFill="1" applyBorder="1" applyAlignment="1" applyProtection="1">
      <alignment horizontal="center" vertical="center"/>
    </xf>
    <xf numFmtId="184" fontId="0" fillId="5" borderId="35" xfId="0" applyNumberFormat="1" applyFill="1" applyBorder="1" applyAlignment="1" applyProtection="1">
      <alignment horizontal="center" vertical="center"/>
    </xf>
    <xf numFmtId="184" fontId="0" fillId="5" borderId="39" xfId="0" applyNumberFormat="1" applyFill="1" applyBorder="1" applyAlignment="1" applyProtection="1">
      <alignment horizontal="center" vertical="center"/>
    </xf>
    <xf numFmtId="0" fontId="0" fillId="12" borderId="42" xfId="0" applyFont="1" applyFill="1" applyBorder="1" applyAlignment="1" applyProtection="1">
      <alignment horizontal="left" vertical="center" indent="1"/>
    </xf>
    <xf numFmtId="0" fontId="0" fillId="12" borderId="18" xfId="0" applyFont="1" applyFill="1" applyBorder="1" applyAlignment="1" applyProtection="1">
      <alignment horizontal="left" vertical="center" indent="1"/>
    </xf>
    <xf numFmtId="0" fontId="0" fillId="12" borderId="20" xfId="0" applyFont="1" applyFill="1" applyBorder="1" applyAlignment="1" applyProtection="1">
      <alignment horizontal="left" vertical="center" indent="1"/>
    </xf>
    <xf numFmtId="182" fontId="0" fillId="5" borderId="35" xfId="0" applyNumberFormat="1" applyFill="1" applyBorder="1" applyAlignment="1" applyProtection="1">
      <alignment horizontal="center" vertical="center"/>
    </xf>
    <xf numFmtId="182" fontId="0" fillId="5" borderId="39" xfId="0" applyNumberFormat="1" applyFill="1" applyBorder="1" applyAlignment="1" applyProtection="1">
      <alignment horizontal="center" vertical="center"/>
    </xf>
    <xf numFmtId="0" fontId="1" fillId="12" borderId="27" xfId="0" applyFont="1" applyFill="1" applyBorder="1" applyAlignment="1" applyProtection="1">
      <alignment horizontal="left" vertical="center" indent="1"/>
    </xf>
    <xf numFmtId="0" fontId="1" fillId="12" borderId="10" xfId="0" applyFont="1" applyFill="1" applyBorder="1" applyAlignment="1" applyProtection="1">
      <alignment horizontal="left" vertical="center" indent="1"/>
    </xf>
    <xf numFmtId="0" fontId="1" fillId="12" borderId="28" xfId="0" applyFont="1" applyFill="1" applyBorder="1" applyAlignment="1" applyProtection="1">
      <alignment horizontal="left" vertical="center" indent="1"/>
    </xf>
    <xf numFmtId="0" fontId="1" fillId="12" borderId="34" xfId="0" applyFont="1" applyFill="1" applyBorder="1" applyAlignment="1" applyProtection="1">
      <alignment horizontal="left" vertical="center" indent="1"/>
    </xf>
    <xf numFmtId="0" fontId="1" fillId="9" borderId="15" xfId="0" applyFont="1" applyFill="1" applyBorder="1" applyAlignment="1" applyProtection="1">
      <alignment horizontal="center"/>
    </xf>
    <xf numFmtId="0" fontId="1" fillId="9" borderId="4" xfId="0" applyFont="1" applyFill="1" applyBorder="1" applyAlignment="1" applyProtection="1">
      <alignment horizontal="center"/>
    </xf>
    <xf numFmtId="0" fontId="1" fillId="9" borderId="32" xfId="0" applyFont="1" applyFill="1" applyBorder="1" applyAlignment="1" applyProtection="1">
      <alignment horizontal="center"/>
    </xf>
    <xf numFmtId="0" fontId="1" fillId="9" borderId="23" xfId="0" applyFont="1" applyFill="1" applyBorder="1" applyAlignment="1" applyProtection="1">
      <alignment horizontal="center"/>
    </xf>
    <xf numFmtId="0" fontId="0" fillId="0" borderId="24" xfId="0" applyBorder="1" applyAlignment="1" applyProtection="1">
      <alignment horizontal="center"/>
    </xf>
    <xf numFmtId="0" fontId="0" fillId="0" borderId="36" xfId="0" applyBorder="1" applyAlignment="1" applyProtection="1">
      <alignment horizontal="center"/>
    </xf>
    <xf numFmtId="0" fontId="0" fillId="7" borderId="39" xfId="0" applyFont="1" applyFill="1" applyBorder="1" applyAlignment="1" applyProtection="1">
      <alignment horizontal="left" vertical="center" indent="1"/>
    </xf>
    <xf numFmtId="0" fontId="35" fillId="0" borderId="0" xfId="0" applyFont="1" applyBorder="1" applyAlignment="1" applyProtection="1">
      <alignment horizontal="left" vertical="top" wrapText="1"/>
    </xf>
    <xf numFmtId="0" fontId="40" fillId="0" borderId="0" xfId="0" applyFont="1" applyAlignment="1" applyProtection="1">
      <alignment horizontal="left"/>
    </xf>
    <xf numFmtId="0" fontId="40" fillId="0" borderId="0" xfId="0" applyFont="1" applyAlignment="1" applyProtection="1"/>
    <xf numFmtId="0" fontId="6" fillId="3" borderId="0" xfId="0" applyFont="1" applyFill="1" applyAlignment="1" applyProtection="1">
      <alignment horizontal="center"/>
    </xf>
    <xf numFmtId="0" fontId="1" fillId="9" borderId="3" xfId="0" applyFont="1" applyFill="1" applyBorder="1" applyAlignment="1" applyProtection="1">
      <alignment horizontal="center"/>
    </xf>
    <xf numFmtId="169" fontId="0" fillId="5" borderId="35" xfId="0" applyNumberFormat="1" applyFill="1" applyBorder="1" applyAlignment="1" applyProtection="1">
      <alignment horizontal="center" vertical="center"/>
    </xf>
    <xf numFmtId="169" fontId="0" fillId="5" borderId="39" xfId="0" applyNumberFormat="1" applyFill="1" applyBorder="1" applyAlignment="1" applyProtection="1">
      <alignment horizontal="center" vertical="center"/>
    </xf>
    <xf numFmtId="0" fontId="6" fillId="0" borderId="0" xfId="0" applyFont="1" applyBorder="1" applyAlignment="1" applyProtection="1">
      <alignment horizontal="center"/>
    </xf>
    <xf numFmtId="0" fontId="11" fillId="0" borderId="27" xfId="0" applyFont="1" applyBorder="1" applyAlignment="1" applyProtection="1">
      <alignment horizontal="center"/>
    </xf>
    <xf numFmtId="0" fontId="11" fillId="0" borderId="11" xfId="0" applyFont="1" applyBorder="1" applyAlignment="1" applyProtection="1">
      <alignment horizontal="center"/>
    </xf>
    <xf numFmtId="0" fontId="5" fillId="0" borderId="5" xfId="1" applyFont="1" applyFill="1" applyBorder="1" applyAlignment="1" applyProtection="1">
      <alignment horizontal="center" vertical="center"/>
      <protection locked="0" hidden="1"/>
    </xf>
    <xf numFmtId="0" fontId="1" fillId="13" borderId="9" xfId="0" applyFont="1" applyFill="1" applyBorder="1" applyAlignment="1" applyProtection="1">
      <alignment horizontal="center" vertical="center"/>
      <protection locked="0"/>
    </xf>
    <xf numFmtId="0" fontId="1" fillId="13" borderId="11" xfId="0" applyFont="1" applyFill="1" applyBorder="1" applyAlignment="1" applyProtection="1">
      <alignment horizontal="center" vertical="center"/>
      <protection locked="0"/>
    </xf>
    <xf numFmtId="0" fontId="1" fillId="13" borderId="6" xfId="0" applyFont="1" applyFill="1" applyBorder="1" applyAlignment="1" applyProtection="1">
      <alignment horizontal="center" vertical="center"/>
      <protection locked="0"/>
    </xf>
    <xf numFmtId="0" fontId="1" fillId="13" borderId="8" xfId="0" applyFont="1" applyFill="1" applyBorder="1" applyAlignment="1" applyProtection="1">
      <alignment horizontal="center" vertical="center"/>
      <protection locked="0"/>
    </xf>
    <xf numFmtId="171" fontId="0" fillId="13" borderId="35" xfId="0" applyNumberFormat="1" applyFill="1" applyBorder="1" applyAlignment="1" applyProtection="1">
      <alignment horizontal="center" vertical="center"/>
      <protection locked="0"/>
    </xf>
    <xf numFmtId="171" fontId="0" fillId="13" borderId="39" xfId="0" applyNumberFormat="1" applyFill="1" applyBorder="1" applyAlignment="1" applyProtection="1">
      <alignment horizontal="center" vertical="center"/>
      <protection locked="0"/>
    </xf>
    <xf numFmtId="176" fontId="0" fillId="13" borderId="35" xfId="0" applyNumberFormat="1" applyFill="1" applyBorder="1" applyAlignment="1" applyProtection="1">
      <alignment horizontal="center" vertical="center"/>
      <protection locked="0"/>
    </xf>
    <xf numFmtId="176" fontId="0" fillId="13" borderId="39" xfId="0" applyNumberFormat="1" applyFill="1" applyBorder="1" applyAlignment="1" applyProtection="1">
      <alignment horizontal="center" vertical="center"/>
      <protection locked="0"/>
    </xf>
    <xf numFmtId="176" fontId="0" fillId="13" borderId="65" xfId="0" applyNumberFormat="1" applyFill="1" applyBorder="1" applyAlignment="1" applyProtection="1">
      <alignment horizontal="center" vertical="center"/>
      <protection locked="0"/>
    </xf>
    <xf numFmtId="176" fontId="0" fillId="13" borderId="63" xfId="0" applyNumberFormat="1" applyFill="1" applyBorder="1" applyAlignment="1" applyProtection="1">
      <alignment horizontal="center" vertical="center"/>
      <protection locked="0"/>
    </xf>
    <xf numFmtId="179" fontId="0" fillId="5" borderId="35" xfId="0" applyNumberFormat="1" applyFill="1" applyBorder="1" applyAlignment="1" applyProtection="1">
      <alignment horizontal="center" vertical="center"/>
    </xf>
    <xf numFmtId="179" fontId="0" fillId="5" borderId="39" xfId="0" applyNumberFormat="1" applyFill="1" applyBorder="1" applyAlignment="1" applyProtection="1">
      <alignment horizontal="center" vertical="center"/>
    </xf>
    <xf numFmtId="172" fontId="0" fillId="13" borderId="35" xfId="0" applyNumberFormat="1" applyFill="1" applyBorder="1" applyAlignment="1" applyProtection="1">
      <alignment horizontal="center" vertical="center"/>
      <protection locked="0"/>
    </xf>
    <xf numFmtId="172" fontId="0" fillId="13" borderId="39" xfId="0" applyNumberFormat="1" applyFill="1" applyBorder="1" applyAlignment="1" applyProtection="1">
      <alignment horizontal="center" vertical="center"/>
      <protection locked="0"/>
    </xf>
    <xf numFmtId="175" fontId="0" fillId="13" borderId="35" xfId="0" applyNumberFormat="1" applyFill="1" applyBorder="1" applyAlignment="1" applyProtection="1">
      <alignment horizontal="center" vertical="center"/>
      <protection locked="0"/>
    </xf>
    <xf numFmtId="175" fontId="0" fillId="13" borderId="39" xfId="0" applyNumberFormat="1" applyFill="1" applyBorder="1" applyAlignment="1" applyProtection="1">
      <alignment horizontal="center" vertical="center"/>
      <protection locked="0"/>
    </xf>
    <xf numFmtId="185" fontId="0" fillId="13" borderId="35" xfId="0" applyNumberFormat="1" applyFill="1" applyBorder="1" applyAlignment="1" applyProtection="1">
      <alignment horizontal="center" vertical="center"/>
      <protection locked="0"/>
    </xf>
    <xf numFmtId="185" fontId="0" fillId="13" borderId="39" xfId="0" applyNumberFormat="1" applyFill="1" applyBorder="1" applyAlignment="1" applyProtection="1">
      <alignment horizontal="center" vertical="center"/>
      <protection locked="0"/>
    </xf>
    <xf numFmtId="0" fontId="1" fillId="12" borderId="15" xfId="0" applyFont="1" applyFill="1" applyBorder="1" applyAlignment="1" applyProtection="1">
      <alignment horizontal="center" vertical="center"/>
    </xf>
    <xf numFmtId="0" fontId="1" fillId="12" borderId="4" xfId="0" applyFont="1" applyFill="1" applyBorder="1" applyAlignment="1" applyProtection="1">
      <alignment horizontal="center" vertical="center"/>
    </xf>
    <xf numFmtId="0" fontId="0" fillId="7" borderId="42" xfId="0" applyFont="1" applyFill="1" applyBorder="1" applyAlignment="1" applyProtection="1">
      <alignment horizontal="left" vertical="center" indent="1"/>
    </xf>
    <xf numFmtId="0" fontId="0" fillId="7" borderId="18" xfId="0" applyFont="1" applyFill="1" applyBorder="1" applyAlignment="1" applyProtection="1">
      <alignment horizontal="left" vertical="center" indent="1"/>
    </xf>
    <xf numFmtId="0" fontId="0" fillId="7" borderId="20" xfId="0" applyFont="1" applyFill="1" applyBorder="1" applyAlignment="1" applyProtection="1">
      <alignment horizontal="left" vertical="center" indent="1"/>
    </xf>
    <xf numFmtId="164" fontId="0" fillId="0" borderId="35" xfId="0" applyNumberFormat="1" applyFont="1" applyFill="1" applyBorder="1" applyAlignment="1" applyProtection="1">
      <alignment horizontal="center" vertical="center"/>
    </xf>
    <xf numFmtId="164" fontId="0" fillId="0" borderId="25" xfId="0" applyNumberFormat="1" applyFont="1" applyFill="1" applyBorder="1" applyAlignment="1" applyProtection="1">
      <alignment horizontal="center" vertical="center"/>
    </xf>
    <xf numFmtId="169" fontId="0" fillId="5" borderId="25" xfId="0" applyNumberFormat="1" applyFill="1" applyBorder="1" applyAlignment="1" applyProtection="1">
      <alignment horizontal="center" vertical="center"/>
    </xf>
    <xf numFmtId="169" fontId="0" fillId="5" borderId="25" xfId="0" applyNumberFormat="1" applyFont="1" applyFill="1" applyBorder="1" applyAlignment="1" applyProtection="1">
      <alignment horizontal="center" vertical="center"/>
    </xf>
    <xf numFmtId="0" fontId="1" fillId="4" borderId="15" xfId="0" applyFont="1" applyFill="1" applyBorder="1" applyAlignment="1" applyProtection="1">
      <alignment horizontal="center" vertical="center"/>
    </xf>
    <xf numFmtId="0" fontId="1" fillId="4" borderId="4" xfId="0" applyFont="1" applyFill="1" applyBorder="1" applyAlignment="1" applyProtection="1">
      <alignment horizontal="center" vertical="center"/>
    </xf>
    <xf numFmtId="0" fontId="1" fillId="9" borderId="15" xfId="0" quotePrefix="1" applyFont="1" applyFill="1" applyBorder="1" applyAlignment="1" applyProtection="1">
      <alignment horizontal="center"/>
    </xf>
    <xf numFmtId="0" fontId="1" fillId="9" borderId="4" xfId="0" quotePrefix="1" applyFont="1" applyFill="1" applyBorder="1" applyAlignment="1" applyProtection="1">
      <alignment horizontal="center"/>
    </xf>
    <xf numFmtId="190" fontId="0" fillId="5" borderId="64" xfId="0" applyNumberFormat="1" applyFont="1" applyFill="1" applyBorder="1" applyAlignment="1" applyProtection="1">
      <alignment horizontal="center" vertical="center"/>
    </xf>
    <xf numFmtId="190" fontId="0" fillId="5" borderId="23" xfId="0" applyNumberFormat="1" applyFont="1" applyFill="1" applyBorder="1" applyAlignment="1" applyProtection="1">
      <alignment horizontal="center" vertical="center"/>
    </xf>
    <xf numFmtId="197" fontId="0" fillId="5" borderId="35" xfId="0" applyNumberFormat="1" applyFont="1" applyFill="1" applyBorder="1" applyAlignment="1" applyProtection="1">
      <alignment horizontal="center" vertical="center"/>
    </xf>
    <xf numFmtId="197" fontId="0" fillId="5" borderId="39" xfId="0" applyNumberFormat="1" applyFont="1" applyFill="1" applyBorder="1" applyAlignment="1" applyProtection="1">
      <alignment horizontal="center" vertical="center"/>
    </xf>
    <xf numFmtId="197" fontId="0" fillId="5" borderId="65" xfId="0" applyNumberFormat="1" applyFont="1" applyFill="1" applyBorder="1" applyAlignment="1" applyProtection="1">
      <alignment horizontal="center" vertical="center"/>
    </xf>
    <xf numFmtId="197" fontId="0" fillId="5" borderId="63" xfId="0" applyNumberFormat="1" applyFont="1" applyFill="1" applyBorder="1" applyAlignment="1" applyProtection="1">
      <alignment horizontal="center" vertical="center"/>
    </xf>
    <xf numFmtId="0" fontId="36" fillId="14" borderId="32" xfId="0" applyFont="1" applyFill="1" applyBorder="1" applyAlignment="1" applyProtection="1">
      <alignment horizontal="center" vertical="center"/>
    </xf>
    <xf numFmtId="0" fontId="36" fillId="14" borderId="22" xfId="0" applyFont="1" applyFill="1" applyBorder="1" applyAlignment="1" applyProtection="1">
      <alignment horizontal="center" vertical="center"/>
    </xf>
    <xf numFmtId="0" fontId="36" fillId="14" borderId="23" xfId="0" applyFont="1" applyFill="1" applyBorder="1" applyAlignment="1" applyProtection="1">
      <alignment horizontal="center" vertical="center"/>
    </xf>
    <xf numFmtId="0" fontId="36" fillId="14" borderId="19" xfId="0" applyFont="1" applyFill="1" applyBorder="1" applyAlignment="1" applyProtection="1">
      <alignment horizontal="center" vertical="center"/>
    </xf>
    <xf numFmtId="0" fontId="36" fillId="14" borderId="0" xfId="0" applyFont="1" applyFill="1" applyBorder="1" applyAlignment="1" applyProtection="1">
      <alignment horizontal="center" vertical="center"/>
    </xf>
    <xf numFmtId="0" fontId="36" fillId="14" borderId="39" xfId="0" applyFont="1" applyFill="1" applyBorder="1" applyAlignment="1" applyProtection="1">
      <alignment horizontal="center" vertical="center"/>
    </xf>
    <xf numFmtId="2" fontId="1" fillId="12" borderId="3" xfId="0" applyNumberFormat="1" applyFont="1" applyFill="1" applyBorder="1" applyAlignment="1" applyProtection="1">
      <alignment horizontal="center" vertical="center" wrapText="1"/>
    </xf>
    <xf numFmtId="0" fontId="0" fillId="0" borderId="0" xfId="0" applyProtection="1">
      <protection hidden="1"/>
    </xf>
    <xf numFmtId="0" fontId="6" fillId="0" borderId="0" xfId="0" applyFont="1" applyAlignment="1" applyProtection="1">
      <alignment horizontal="center"/>
      <protection hidden="1"/>
    </xf>
    <xf numFmtId="0" fontId="26" fillId="0" borderId="0" xfId="2" applyAlignment="1" applyProtection="1">
      <alignment horizontal="center"/>
      <protection hidden="1"/>
    </xf>
    <xf numFmtId="0" fontId="26" fillId="3" borderId="0" xfId="2" applyFill="1" applyAlignment="1" applyProtection="1">
      <alignment horizontal="center"/>
      <protection hidden="1"/>
    </xf>
    <xf numFmtId="0" fontId="27" fillId="0" borderId="0" xfId="1" applyFont="1" applyFill="1" applyAlignment="1" applyProtection="1">
      <alignment horizontal="left" indent="1"/>
      <protection hidden="1"/>
    </xf>
    <xf numFmtId="4" fontId="2" fillId="5" borderId="18" xfId="0" applyNumberFormat="1" applyFont="1" applyFill="1" applyBorder="1" applyAlignment="1" applyProtection="1">
      <alignment horizontal="center"/>
      <protection hidden="1"/>
    </xf>
    <xf numFmtId="4" fontId="18" fillId="5" borderId="38" xfId="0" applyNumberFormat="1" applyFont="1" applyFill="1" applyBorder="1" applyAlignment="1" applyProtection="1">
      <alignment horizontal="center"/>
      <protection hidden="1"/>
    </xf>
    <xf numFmtId="4" fontId="2" fillId="5" borderId="38" xfId="0" applyNumberFormat="1" applyFont="1" applyFill="1" applyBorder="1" applyAlignment="1" applyProtection="1">
      <alignment horizontal="center"/>
      <protection hidden="1"/>
    </xf>
    <xf numFmtId="177" fontId="41" fillId="5" borderId="37" xfId="0" applyNumberFormat="1" applyFont="1" applyFill="1" applyBorder="1" applyAlignment="1" applyProtection="1">
      <alignment horizontal="center"/>
      <protection hidden="1"/>
    </xf>
  </cellXfs>
  <cellStyles count="4">
    <cellStyle name="Hyperlink" xfId="1" builtinId="8"/>
    <cellStyle name="Normal" xfId="0" builtinId="0"/>
    <cellStyle name="Normal 2" xfId="2" xr:uid="{00000000-0005-0000-0000-000002000000}"/>
    <cellStyle name="Percent" xfId="3" builtinId="5"/>
  </cellStyles>
  <dxfs count="96">
    <dxf>
      <font>
        <color rgb="FF9C0006"/>
      </font>
    </dxf>
    <dxf>
      <fill>
        <patternFill>
          <bgColor theme="0"/>
        </patternFill>
      </fill>
    </dxf>
    <dxf>
      <fill>
        <patternFill>
          <bgColor theme="0"/>
        </patternFill>
      </fill>
    </dxf>
    <dxf>
      <font>
        <color rgb="FF9C0006"/>
      </font>
      <fill>
        <patternFill>
          <bgColor rgb="FFFFC7CE"/>
        </patternFill>
      </fill>
    </dxf>
    <dxf>
      <font>
        <color auto="1"/>
      </font>
      <fill>
        <patternFill>
          <bgColor rgb="FFFFFFCC"/>
        </patternFill>
      </fill>
      <border>
        <right style="thin">
          <color auto="1"/>
        </right>
      </border>
    </dxf>
    <dxf>
      <fill>
        <patternFill>
          <bgColor theme="0"/>
        </patternFill>
      </fill>
      <border>
        <right/>
      </border>
    </dxf>
    <dxf>
      <fill>
        <patternFill>
          <bgColor theme="0"/>
        </patternFill>
      </fill>
      <border>
        <right/>
      </border>
    </dxf>
    <dxf>
      <font>
        <color theme="0"/>
      </font>
      <fill>
        <patternFill>
          <bgColor rgb="FFFF0000"/>
        </patternFill>
      </fill>
    </dxf>
    <dxf>
      <font>
        <color theme="0"/>
      </font>
      <fill>
        <patternFill>
          <bgColor rgb="FFFF0000"/>
        </patternFill>
      </fill>
    </dxf>
    <dxf>
      <font>
        <color theme="0"/>
      </font>
      <fill>
        <patternFill>
          <bgColor rgb="FFFF0000"/>
        </patternFill>
      </fill>
    </dxf>
    <dxf>
      <fill>
        <patternFill>
          <bgColor theme="9" tint="0.39994506668294322"/>
        </patternFill>
      </fill>
    </dxf>
    <dxf>
      <font>
        <b/>
        <i val="0"/>
        <color theme="0"/>
      </font>
      <fill>
        <patternFill>
          <bgColor rgb="FFFF0000"/>
        </patternFill>
      </fill>
    </dxf>
    <dxf>
      <font>
        <color auto="1"/>
      </font>
      <fill>
        <patternFill>
          <bgColor rgb="FFCCFFCC"/>
        </patternFill>
      </fill>
    </dxf>
    <dxf>
      <fill>
        <patternFill>
          <bgColor theme="9" tint="0.39994506668294322"/>
        </patternFill>
      </fill>
    </dxf>
    <dxf>
      <fill>
        <patternFill>
          <bgColor theme="0"/>
        </patternFill>
      </fill>
      <border>
        <right/>
      </border>
    </dxf>
    <dxf>
      <fill>
        <patternFill>
          <bgColor theme="0"/>
        </patternFill>
      </fill>
      <border>
        <right/>
      </border>
    </dxf>
    <dxf>
      <fill>
        <patternFill>
          <bgColor theme="0"/>
        </patternFill>
      </fill>
      <border>
        <right/>
      </border>
    </dxf>
    <dxf>
      <fill>
        <patternFill>
          <bgColor theme="0"/>
        </patternFill>
      </fill>
      <border>
        <right/>
      </border>
    </dxf>
    <dxf>
      <fill>
        <patternFill>
          <bgColor theme="0"/>
        </patternFill>
      </fill>
      <border>
        <right/>
      </border>
    </dxf>
    <dxf>
      <fill>
        <patternFill>
          <bgColor theme="0"/>
        </patternFill>
      </fill>
      <border>
        <right/>
      </border>
    </dxf>
    <dxf>
      <fill>
        <patternFill>
          <bgColor theme="0"/>
        </patternFill>
      </fill>
      <border>
        <right/>
      </border>
    </dxf>
    <dxf>
      <fill>
        <patternFill>
          <bgColor theme="0"/>
        </patternFill>
      </fill>
      <border>
        <right/>
      </border>
    </dxf>
    <dxf>
      <fill>
        <patternFill>
          <bgColor theme="0"/>
        </patternFill>
      </fill>
    </dxf>
    <dxf>
      <fill>
        <patternFill>
          <bgColor theme="0"/>
        </patternFill>
      </fill>
    </dxf>
    <dxf>
      <fill>
        <patternFill>
          <bgColor theme="0"/>
        </patternFill>
      </fill>
    </dxf>
    <dxf>
      <font>
        <color theme="0"/>
      </font>
      <fill>
        <patternFill>
          <bgColor rgb="FFFF0000"/>
        </patternFill>
      </fill>
    </dxf>
    <dxf>
      <fill>
        <patternFill>
          <bgColor theme="0"/>
        </patternFill>
      </fill>
    </dxf>
    <dxf>
      <fill>
        <patternFill>
          <bgColor theme="0"/>
        </patternFill>
      </fill>
    </dxf>
    <dxf>
      <font>
        <color theme="0"/>
      </font>
      <fill>
        <patternFill>
          <bgColor rgb="FFFF0000"/>
        </patternFill>
      </fill>
    </dxf>
    <dxf>
      <fill>
        <patternFill>
          <bgColor theme="0"/>
        </patternFill>
      </fill>
    </dxf>
    <dxf>
      <font>
        <color theme="0"/>
      </font>
      <fill>
        <patternFill>
          <bgColor rgb="FFFF0000"/>
        </patternFill>
      </fill>
    </dxf>
    <dxf>
      <fill>
        <patternFill>
          <bgColor theme="0"/>
        </patternFill>
      </fill>
    </dxf>
    <dxf>
      <font>
        <color theme="0"/>
      </font>
      <fill>
        <patternFill>
          <bgColor rgb="FFFF0000"/>
        </patternFill>
      </fill>
      <border>
        <right/>
        <vertical/>
        <horizontal/>
      </border>
    </dxf>
    <dxf>
      <fill>
        <patternFill>
          <bgColor theme="0"/>
        </patternFill>
      </fill>
      <border>
        <right/>
      </border>
    </dxf>
    <dxf>
      <fill>
        <patternFill>
          <bgColor theme="0"/>
        </patternFill>
      </fill>
    </dxf>
    <dxf>
      <protection locked="1" hidden="1"/>
    </dxf>
    <dxf>
      <protection locked="1" hidden="1"/>
    </dxf>
    <dxf>
      <protection locked="1" hidden="1"/>
    </dxf>
    <dxf>
      <protection locked="1" hidden="1"/>
    </dxf>
    <dxf>
      <protection locked="1" hidden="1"/>
    </dxf>
    <dxf>
      <protection locked="1" hidden="1"/>
    </dxf>
    <dxf>
      <border diagonalUp="0" diagonalDown="0">
        <left style="thin">
          <color indexed="64"/>
        </left>
        <right style="thin">
          <color indexed="64"/>
        </right>
        <top/>
        <bottom/>
        <vertical style="thin">
          <color indexed="64"/>
        </vertical>
        <horizontal style="thin">
          <color indexed="64"/>
        </horizontal>
      </border>
      <protection locked="1" hidden="1"/>
    </dxf>
    <dxf>
      <font>
        <b val="0"/>
        <i val="0"/>
        <strike val="0"/>
        <condense val="0"/>
        <extend val="0"/>
        <outline val="0"/>
        <shadow val="0"/>
        <u val="none"/>
        <vertAlign val="baseline"/>
        <sz val="11"/>
        <color theme="1"/>
        <name val="Calibri"/>
        <scheme val="minor"/>
      </font>
      <numFmt numFmtId="0" formatCode="General"/>
      <fill>
        <patternFill patternType="solid">
          <fgColor indexed="64"/>
          <bgColor rgb="FFFFFFCC"/>
        </patternFill>
      </fill>
      <alignment horizontal="center" vertical="bottom" textRotation="0" wrapText="0" indent="0" justifyLastLine="0" shrinkToFit="0" readingOrder="0"/>
      <protection locked="1" hidden="1"/>
    </dxf>
    <dxf>
      <font>
        <b val="0"/>
        <i val="0"/>
        <strike val="0"/>
        <condense val="0"/>
        <extend val="0"/>
        <outline val="0"/>
        <shadow val="0"/>
        <u val="none"/>
        <vertAlign val="baseline"/>
        <sz val="11"/>
        <color theme="1"/>
        <name val="Calibri"/>
        <scheme val="minor"/>
      </font>
      <numFmt numFmtId="0" formatCode="General"/>
      <fill>
        <patternFill patternType="solid">
          <fgColor indexed="64"/>
          <bgColor rgb="FFFFFFCC"/>
        </patternFill>
      </fill>
      <alignment horizontal="center" vertical="bottom" textRotation="0" wrapText="0" indent="0" justifyLastLine="0" shrinkToFit="0" readingOrder="0"/>
      <protection locked="1" hidden="1"/>
    </dxf>
    <dxf>
      <font>
        <b val="0"/>
        <i val="0"/>
        <strike val="0"/>
        <condense val="0"/>
        <extend val="0"/>
        <outline val="0"/>
        <shadow val="0"/>
        <u val="none"/>
        <vertAlign val="baseline"/>
        <sz val="11"/>
        <color theme="1"/>
        <name val="Calibri"/>
        <family val="2"/>
        <scheme val="minor"/>
      </font>
      <numFmt numFmtId="0" formatCode="General"/>
      <fill>
        <patternFill patternType="solid">
          <fgColor indexed="64"/>
          <bgColor rgb="FFFFFFCC"/>
        </patternFill>
      </fill>
      <alignment horizontal="center" vertical="bottom" textRotation="0" wrapText="0" indent="0" justifyLastLine="0" shrinkToFit="0" readingOrder="0"/>
      <protection locked="1" hidden="1"/>
    </dxf>
    <dxf>
      <font>
        <b val="0"/>
        <i val="0"/>
        <strike val="0"/>
        <condense val="0"/>
        <extend val="0"/>
        <outline val="0"/>
        <shadow val="0"/>
        <u val="none"/>
        <vertAlign val="baseline"/>
        <sz val="11"/>
        <color theme="1"/>
        <name val="Calibri"/>
        <scheme val="minor"/>
      </font>
      <numFmt numFmtId="0" formatCode="General"/>
      <fill>
        <patternFill patternType="solid">
          <fgColor indexed="64"/>
          <bgColor rgb="FFFFFFCC"/>
        </patternFill>
      </fill>
      <alignment horizontal="center" vertical="bottom" textRotation="0" wrapText="0" indent="0" justifyLastLine="0" shrinkToFit="0" readingOrder="0"/>
      <protection locked="1" hidden="1"/>
    </dxf>
    <dxf>
      <font>
        <b val="0"/>
        <i val="0"/>
        <strike val="0"/>
        <condense val="0"/>
        <extend val="0"/>
        <outline val="0"/>
        <shadow val="0"/>
        <u val="none"/>
        <vertAlign val="baseline"/>
        <sz val="11"/>
        <color theme="1"/>
        <name val="Calibri"/>
        <scheme val="minor"/>
      </font>
      <numFmt numFmtId="0" formatCode="General"/>
      <fill>
        <patternFill patternType="solid">
          <fgColor indexed="64"/>
          <bgColor rgb="FFFFFFCC"/>
        </patternFill>
      </fill>
      <alignment horizontal="center" vertical="bottom" textRotation="0" wrapText="0" indent="0" justifyLastLine="0" shrinkToFit="0" readingOrder="0"/>
      <protection locked="1" hidden="1"/>
    </dxf>
    <dxf>
      <font>
        <b val="0"/>
        <i val="0"/>
        <strike val="0"/>
        <condense val="0"/>
        <extend val="0"/>
        <outline val="0"/>
        <shadow val="0"/>
        <u val="none"/>
        <vertAlign val="baseline"/>
        <sz val="11"/>
        <color theme="1"/>
        <name val="Calibri"/>
        <scheme val="minor"/>
      </font>
      <numFmt numFmtId="0" formatCode="General"/>
      <fill>
        <patternFill patternType="solid">
          <fgColor indexed="64"/>
          <bgColor rgb="FFFFFFCC"/>
        </patternFill>
      </fill>
      <alignment horizontal="center" vertical="bottom" textRotation="0" wrapText="0" indent="0" justifyLastLine="0" shrinkToFit="0" readingOrder="0"/>
      <protection locked="1" hidden="1"/>
    </dxf>
    <dxf>
      <font>
        <b val="0"/>
        <i val="0"/>
        <strike val="0"/>
        <condense val="0"/>
        <extend val="0"/>
        <outline val="0"/>
        <shadow val="0"/>
        <u val="none"/>
        <vertAlign val="baseline"/>
        <sz val="11"/>
        <color theme="1"/>
        <name val="Calibri"/>
        <family val="2"/>
        <scheme val="minor"/>
      </font>
      <numFmt numFmtId="0" formatCode="General"/>
      <fill>
        <patternFill patternType="solid">
          <fgColor indexed="64"/>
          <bgColor rgb="FFFFFFCC"/>
        </patternFill>
      </fill>
      <alignment horizontal="center" vertical="bottom" textRotation="0" wrapText="0" indent="0" justifyLastLine="0" shrinkToFit="0" readingOrder="0"/>
      <protection locked="1" hidden="1"/>
    </dxf>
    <dxf>
      <font>
        <b val="0"/>
        <i val="0"/>
        <strike val="0"/>
        <condense val="0"/>
        <extend val="0"/>
        <outline val="0"/>
        <shadow val="0"/>
        <u val="none"/>
        <vertAlign val="baseline"/>
        <sz val="11"/>
        <color theme="1"/>
        <name val="Calibri"/>
        <scheme val="minor"/>
      </font>
      <numFmt numFmtId="0" formatCode="General"/>
      <fill>
        <patternFill patternType="solid">
          <fgColor indexed="64"/>
          <bgColor rgb="FFFFFFCC"/>
        </patternFill>
      </fill>
      <alignment horizontal="center" vertical="bottom" textRotation="0" wrapText="0" indent="0" justifyLastLine="0" shrinkToFit="0" readingOrder="0"/>
      <protection locked="1" hidden="1"/>
    </dxf>
    <dxf>
      <font>
        <b val="0"/>
        <i val="0"/>
        <strike val="0"/>
        <condense val="0"/>
        <extend val="0"/>
        <outline val="0"/>
        <shadow val="0"/>
        <u val="none"/>
        <vertAlign val="baseline"/>
        <sz val="11"/>
        <color theme="1"/>
        <name val="Calibri"/>
        <scheme val="minor"/>
      </font>
      <numFmt numFmtId="0" formatCode="General"/>
      <fill>
        <patternFill patternType="solid">
          <fgColor indexed="64"/>
          <bgColor rgb="FFFFFFCC"/>
        </patternFill>
      </fill>
      <alignment horizontal="center" vertical="bottom" textRotation="0" wrapText="0" indent="0" justifyLastLine="0" shrinkToFit="0" readingOrder="0"/>
      <protection locked="1" hidden="1"/>
    </dxf>
    <dxf>
      <font>
        <b val="0"/>
        <i val="0"/>
        <strike val="0"/>
        <condense val="0"/>
        <extend val="0"/>
        <outline val="0"/>
        <shadow val="0"/>
        <u val="none"/>
        <vertAlign val="baseline"/>
        <sz val="11"/>
        <color theme="1"/>
        <name val="Calibri"/>
        <scheme val="minor"/>
      </font>
      <numFmt numFmtId="0" formatCode="General"/>
      <fill>
        <patternFill patternType="solid">
          <fgColor indexed="64"/>
          <bgColor rgb="FFFFFFCC"/>
        </patternFill>
      </fill>
      <alignment horizontal="center" vertical="bottom" textRotation="0" wrapText="0" indent="0" justifyLastLine="0" shrinkToFit="0" readingOrder="0"/>
      <protection locked="1" hidden="1"/>
    </dxf>
    <dxf>
      <font>
        <b val="0"/>
        <i val="0"/>
        <strike val="0"/>
        <condense val="0"/>
        <extend val="0"/>
        <outline val="0"/>
        <shadow val="0"/>
        <u val="none"/>
        <vertAlign val="baseline"/>
        <sz val="11"/>
        <color theme="1"/>
        <name val="Calibri"/>
        <family val="2"/>
        <scheme val="minor"/>
      </font>
      <numFmt numFmtId="0" formatCode="General"/>
      <fill>
        <patternFill patternType="solid">
          <fgColor indexed="64"/>
          <bgColor rgb="FFFFFFCC"/>
        </patternFill>
      </fill>
      <alignment horizontal="center" vertical="bottom" textRotation="0" wrapText="0" indent="0" justifyLastLine="0" shrinkToFit="0" readingOrder="0"/>
      <protection locked="1" hidden="1"/>
    </dxf>
    <dxf>
      <font>
        <b val="0"/>
        <i val="0"/>
        <strike val="0"/>
        <condense val="0"/>
        <extend val="0"/>
        <outline val="0"/>
        <shadow val="0"/>
        <u val="none"/>
        <vertAlign val="baseline"/>
        <sz val="11"/>
        <color theme="1"/>
        <name val="Calibri"/>
        <scheme val="minor"/>
      </font>
      <numFmt numFmtId="0" formatCode="General"/>
      <fill>
        <patternFill patternType="solid">
          <fgColor indexed="64"/>
          <bgColor rgb="FFFFFFCC"/>
        </patternFill>
      </fill>
      <alignment horizontal="center" vertical="bottom" textRotation="0" wrapText="0" indent="0" justifyLastLine="0" shrinkToFit="0" readingOrder="0"/>
      <protection locked="1" hidden="1"/>
    </dxf>
    <dxf>
      <font>
        <b val="0"/>
        <i val="0"/>
        <strike val="0"/>
        <condense val="0"/>
        <extend val="0"/>
        <outline val="0"/>
        <shadow val="0"/>
        <u val="none"/>
        <vertAlign val="baseline"/>
        <sz val="11"/>
        <color theme="1"/>
        <name val="Calibri"/>
        <scheme val="minor"/>
      </font>
      <numFmt numFmtId="0" formatCode="General"/>
      <fill>
        <patternFill patternType="solid">
          <fgColor indexed="64"/>
          <bgColor rgb="FFFFFFCC"/>
        </patternFill>
      </fill>
      <alignment horizontal="center" vertical="bottom" textRotation="0" wrapText="0" indent="0" justifyLastLine="0" shrinkToFit="0" readingOrder="0"/>
      <protection locked="1" hidden="1"/>
    </dxf>
    <dxf>
      <font>
        <b val="0"/>
        <i val="0"/>
        <strike val="0"/>
        <condense val="0"/>
        <extend val="0"/>
        <outline val="0"/>
        <shadow val="0"/>
        <u val="none"/>
        <vertAlign val="baseline"/>
        <sz val="11"/>
        <color theme="1"/>
        <name val="Calibri"/>
        <scheme val="minor"/>
      </font>
      <numFmt numFmtId="168" formatCode="0\ &quot;µA&quot;"/>
      <fill>
        <patternFill patternType="solid">
          <fgColor indexed="64"/>
          <bgColor rgb="FFFFFFCC"/>
        </patternFill>
      </fill>
      <alignment horizontal="center" vertical="bottom" textRotation="0" wrapText="0" indent="0" justifyLastLine="0" shrinkToFit="0" readingOrder="0"/>
      <border diagonalUp="0" diagonalDown="0">
        <left/>
        <right style="thin">
          <color indexed="64"/>
        </right>
        <top style="thin">
          <color auto="1"/>
        </top>
        <bottom style="thin">
          <color auto="1"/>
        </bottom>
        <vertical/>
        <horizontal style="thin">
          <color auto="1"/>
        </horizontal>
      </border>
      <protection locked="1" hidden="1"/>
    </dxf>
    <dxf>
      <font>
        <b val="0"/>
        <i val="0"/>
        <strike val="0"/>
        <condense val="0"/>
        <extend val="0"/>
        <outline val="0"/>
        <shadow val="0"/>
        <u val="none"/>
        <vertAlign val="baseline"/>
        <sz val="11"/>
        <color theme="1"/>
        <name val="Calibri"/>
        <scheme val="none"/>
      </font>
      <numFmt numFmtId="172" formatCode="#,##0\ &quot;Ω&quot;"/>
      <fill>
        <patternFill patternType="solid">
          <fgColor indexed="64"/>
          <bgColor rgb="FFFFFFCC"/>
        </patternFill>
      </fill>
      <alignment horizontal="center" vertical="bottom" textRotation="0" wrapText="0" indent="0" justifyLastLine="0" shrinkToFit="0" readingOrder="0"/>
      <border diagonalUp="0" diagonalDown="0">
        <left/>
        <right/>
        <top style="thin">
          <color auto="1"/>
        </top>
        <bottom/>
        <vertical/>
        <horizontal/>
      </border>
      <protection locked="1" hidden="1"/>
    </dxf>
    <dxf>
      <font>
        <b val="0"/>
        <i val="0"/>
        <strike val="0"/>
        <condense val="0"/>
        <extend val="0"/>
        <outline val="0"/>
        <shadow val="0"/>
        <u val="none"/>
        <vertAlign val="baseline"/>
        <sz val="11"/>
        <color theme="1"/>
        <name val="Calibri"/>
        <scheme val="none"/>
      </font>
      <numFmt numFmtId="172" formatCode="#,##0\ &quot;Ω&quot;"/>
      <fill>
        <patternFill patternType="solid">
          <fgColor indexed="64"/>
          <bgColor rgb="FFFFFFCC"/>
        </patternFill>
      </fill>
      <alignment horizontal="center" vertical="bottom" textRotation="0" wrapText="0" indent="0" justifyLastLine="0" shrinkToFit="0" readingOrder="0"/>
      <border diagonalUp="0" diagonalDown="0">
        <left/>
        <right/>
        <top style="thin">
          <color auto="1"/>
        </top>
        <bottom/>
        <vertical/>
        <horizontal/>
      </border>
      <protection locked="1" hidden="1"/>
    </dxf>
    <dxf>
      <font>
        <b val="0"/>
        <i val="0"/>
        <strike val="0"/>
        <condense val="0"/>
        <extend val="0"/>
        <outline val="0"/>
        <shadow val="0"/>
        <u val="none"/>
        <vertAlign val="baseline"/>
        <sz val="11"/>
        <color theme="1"/>
        <name val="Calibri"/>
        <scheme val="none"/>
      </font>
      <numFmt numFmtId="172" formatCode="#,##0\ &quot;Ω&quot;"/>
      <fill>
        <patternFill patternType="solid">
          <fgColor indexed="64"/>
          <bgColor rgb="FFFFFFCC"/>
        </patternFill>
      </fill>
      <alignment horizontal="center" vertical="bottom" textRotation="0" wrapText="0" indent="0" justifyLastLine="0" shrinkToFit="0" readingOrder="0"/>
      <border diagonalUp="0" diagonalDown="0">
        <left/>
        <right/>
        <top style="thin">
          <color indexed="64"/>
        </top>
        <bottom style="thin">
          <color indexed="64"/>
        </bottom>
        <vertical/>
        <horizontal/>
      </border>
      <protection locked="1" hidden="1"/>
    </dxf>
    <dxf>
      <font>
        <b val="0"/>
        <i val="0"/>
        <strike val="0"/>
        <condense val="0"/>
        <extend val="0"/>
        <outline val="0"/>
        <shadow val="0"/>
        <u val="none"/>
        <vertAlign val="baseline"/>
        <sz val="11"/>
        <color theme="1"/>
        <name val="Calibri"/>
        <scheme val="none"/>
      </font>
      <numFmt numFmtId="172" formatCode="#,##0\ &quot;Ω&quot;"/>
      <fill>
        <patternFill patternType="solid">
          <fgColor indexed="64"/>
          <bgColor rgb="FFFFFFCC"/>
        </patternFill>
      </fill>
      <alignment horizontal="center" vertical="bottom" textRotation="0" wrapText="0" indent="0" justifyLastLine="0" shrinkToFit="0" readingOrder="0"/>
      <border diagonalUp="0" diagonalDown="0">
        <left/>
        <right/>
        <top style="thin">
          <color auto="1"/>
        </top>
        <bottom style="thin">
          <color auto="1"/>
        </bottom>
        <vertical/>
        <horizontal style="thin">
          <color auto="1"/>
        </horizontal>
      </border>
      <protection locked="1" hidden="1"/>
    </dxf>
    <dxf>
      <font>
        <b val="0"/>
        <i val="0"/>
        <strike val="0"/>
        <condense val="0"/>
        <extend val="0"/>
        <outline val="0"/>
        <shadow val="0"/>
        <u val="none"/>
        <vertAlign val="baseline"/>
        <sz val="11"/>
        <color theme="1"/>
        <name val="Calibri"/>
        <scheme val="none"/>
      </font>
      <numFmt numFmtId="175" formatCode="#,##0\ &quot;mV&quot;"/>
      <fill>
        <patternFill patternType="solid">
          <fgColor indexed="64"/>
          <bgColor rgb="FFFFFFCC"/>
        </patternFill>
      </fill>
      <alignment horizontal="center" vertical="bottom" textRotation="0" wrapText="0" indent="0" justifyLastLine="0" shrinkToFit="0" readingOrder="0"/>
      <border diagonalUp="0" diagonalDown="0">
        <left/>
        <right/>
        <top style="thin">
          <color auto="1"/>
        </top>
        <bottom/>
        <vertical/>
        <horizontal/>
      </border>
      <protection locked="1" hidden="1"/>
    </dxf>
    <dxf>
      <font>
        <b val="0"/>
        <i val="0"/>
        <strike val="0"/>
        <condense val="0"/>
        <extend val="0"/>
        <outline val="0"/>
        <shadow val="0"/>
        <u val="none"/>
        <vertAlign val="baseline"/>
        <sz val="11"/>
        <color theme="1"/>
        <name val="Calibri"/>
        <scheme val="none"/>
      </font>
      <numFmt numFmtId="175" formatCode="#,##0\ &quot;mV&quot;"/>
      <fill>
        <patternFill patternType="solid">
          <fgColor indexed="64"/>
          <bgColor rgb="FFFFFFCC"/>
        </patternFill>
      </fill>
      <alignment horizontal="center" vertical="bottom" textRotation="0" wrapText="0" indent="0" justifyLastLine="0" shrinkToFit="0" readingOrder="0"/>
      <border diagonalUp="0" diagonalDown="0">
        <left/>
        <right/>
        <top style="thin">
          <color auto="1"/>
        </top>
        <bottom/>
        <vertical/>
        <horizontal/>
      </border>
      <protection locked="1" hidden="1"/>
    </dxf>
    <dxf>
      <font>
        <b val="0"/>
        <i val="0"/>
        <strike val="0"/>
        <condense val="0"/>
        <extend val="0"/>
        <outline val="0"/>
        <shadow val="0"/>
        <u val="none"/>
        <vertAlign val="baseline"/>
        <sz val="11"/>
        <color theme="1"/>
        <name val="Calibri"/>
        <family val="2"/>
        <scheme val="none"/>
      </font>
      <numFmt numFmtId="175" formatCode="#,##0\ &quot;mV&quot;"/>
      <fill>
        <patternFill patternType="solid">
          <fgColor indexed="64"/>
          <bgColor rgb="FFFFFFCC"/>
        </patternFill>
      </fill>
      <alignment horizontal="center" vertical="bottom" textRotation="0" wrapText="0" indent="0" justifyLastLine="0" shrinkToFit="0" readingOrder="0"/>
      <border diagonalUp="0" diagonalDown="0">
        <left/>
        <right/>
        <top style="thin">
          <color auto="1"/>
        </top>
        <bottom/>
        <vertical/>
        <horizontal/>
      </border>
      <protection locked="1" hidden="1"/>
    </dxf>
    <dxf>
      <font>
        <b val="0"/>
        <i val="0"/>
        <strike val="0"/>
        <condense val="0"/>
        <extend val="0"/>
        <outline val="0"/>
        <shadow val="0"/>
        <u val="none"/>
        <vertAlign val="baseline"/>
        <sz val="11"/>
        <color theme="1"/>
        <name val="Calibri"/>
        <scheme val="none"/>
      </font>
      <numFmt numFmtId="175" formatCode="#,##0\ &quot;mV&quot;"/>
      <fill>
        <patternFill patternType="solid">
          <fgColor indexed="64"/>
          <bgColor rgb="FFFFFFCC"/>
        </patternFill>
      </fill>
      <alignment horizontal="center" vertical="bottom" textRotation="0" wrapText="0" indent="0" justifyLastLine="0" shrinkToFit="0" readingOrder="0"/>
      <border diagonalUp="0" diagonalDown="0">
        <left/>
        <right/>
        <top style="thin">
          <color indexed="64"/>
        </top>
        <bottom style="thin">
          <color indexed="64"/>
        </bottom>
        <vertical/>
        <horizontal/>
      </border>
      <protection locked="1" hidden="1"/>
    </dxf>
    <dxf>
      <font>
        <b val="0"/>
        <i val="0"/>
        <strike val="0"/>
        <condense val="0"/>
        <extend val="0"/>
        <outline val="0"/>
        <shadow val="0"/>
        <u val="none"/>
        <vertAlign val="baseline"/>
        <sz val="11"/>
        <color theme="1"/>
        <name val="Calibri"/>
        <scheme val="minor"/>
      </font>
      <numFmt numFmtId="165" formatCode="0\ &quot;ppm/°C&quot;"/>
      <fill>
        <patternFill patternType="solid">
          <fgColor indexed="64"/>
          <bgColor rgb="FFFFFFCC"/>
        </patternFill>
      </fill>
      <alignment horizontal="center" vertical="bottom" textRotation="0" wrapText="0" indent="0" justifyLastLine="0" shrinkToFit="0" readingOrder="0"/>
      <border diagonalUp="0" diagonalDown="0">
        <left/>
        <right/>
        <top style="thin">
          <color indexed="64"/>
        </top>
        <bottom style="thin">
          <color indexed="64"/>
        </bottom>
        <vertical/>
        <horizontal/>
      </border>
      <protection locked="1" hidden="1"/>
    </dxf>
    <dxf>
      <font>
        <b val="0"/>
        <i val="0"/>
        <strike val="0"/>
        <condense val="0"/>
        <extend val="0"/>
        <outline val="0"/>
        <shadow val="0"/>
        <u val="none"/>
        <vertAlign val="baseline"/>
        <sz val="11"/>
        <color theme="1"/>
        <name val="Calibri"/>
        <scheme val="minor"/>
      </font>
      <numFmt numFmtId="165" formatCode="0\ &quot;ppm/°C&quot;"/>
      <fill>
        <patternFill patternType="solid">
          <fgColor indexed="64"/>
          <bgColor rgb="FFFFFFCC"/>
        </patternFill>
      </fill>
      <alignment horizontal="center" vertical="bottom" textRotation="0" wrapText="0" indent="0" justifyLastLine="0" shrinkToFit="0" readingOrder="0"/>
      <border diagonalUp="0" diagonalDown="0">
        <left/>
        <right/>
        <top style="thin">
          <color indexed="64"/>
        </top>
        <bottom style="thin">
          <color indexed="64"/>
        </bottom>
        <vertical/>
        <horizontal/>
      </border>
      <protection locked="1" hidden="1"/>
    </dxf>
    <dxf>
      <font>
        <b val="0"/>
        <i val="0"/>
        <strike val="0"/>
        <condense val="0"/>
        <extend val="0"/>
        <outline val="0"/>
        <shadow val="0"/>
        <u val="none"/>
        <vertAlign val="baseline"/>
        <sz val="11"/>
        <color theme="1"/>
        <name val="Calibri"/>
        <scheme val="minor"/>
      </font>
      <numFmt numFmtId="14" formatCode="0.00%"/>
      <fill>
        <patternFill patternType="solid">
          <fgColor indexed="64"/>
          <bgColor rgb="FFFFFFCC"/>
        </patternFill>
      </fill>
      <alignment horizontal="center" vertical="bottom" textRotation="0" wrapText="0" indent="0" justifyLastLine="0" shrinkToFit="0" readingOrder="0"/>
      <border diagonalUp="0" diagonalDown="0">
        <left/>
        <right/>
        <top style="thin">
          <color indexed="64"/>
        </top>
        <bottom style="thin">
          <color indexed="64"/>
        </bottom>
        <vertical/>
        <horizontal/>
      </border>
      <protection locked="1" hidden="1"/>
    </dxf>
    <dxf>
      <font>
        <b val="0"/>
        <i val="0"/>
        <strike val="0"/>
        <condense val="0"/>
        <extend val="0"/>
        <outline val="0"/>
        <shadow val="0"/>
        <u val="none"/>
        <vertAlign val="baseline"/>
        <sz val="11"/>
        <color theme="1"/>
        <name val="Calibri"/>
        <scheme val="minor"/>
      </font>
      <numFmt numFmtId="14" formatCode="0.00%"/>
      <fill>
        <patternFill patternType="solid">
          <fgColor indexed="64"/>
          <bgColor rgb="FFFFFFCC"/>
        </patternFill>
      </fill>
      <alignment horizontal="center" vertical="bottom" textRotation="0" wrapText="0" indent="0" justifyLastLine="0" shrinkToFit="0" readingOrder="0"/>
      <border diagonalUp="0" diagonalDown="0">
        <left/>
        <right/>
        <top style="thin">
          <color indexed="64"/>
        </top>
        <bottom style="thin">
          <color indexed="64"/>
        </bottom>
        <vertical/>
        <horizontal/>
      </border>
      <protection locked="1" hidden="1"/>
    </dxf>
    <dxf>
      <font>
        <b val="0"/>
        <i val="0"/>
        <strike val="0"/>
        <condense val="0"/>
        <extend val="0"/>
        <outline val="0"/>
        <shadow val="0"/>
        <u val="none"/>
        <vertAlign val="baseline"/>
        <sz val="11"/>
        <color theme="1"/>
        <name val="Calibri"/>
        <scheme val="minor"/>
      </font>
      <numFmt numFmtId="167" formatCode="0.00\ &quot; µV/°C&quot;"/>
      <fill>
        <patternFill patternType="solid">
          <fgColor indexed="64"/>
          <bgColor rgb="FFFFFFCC"/>
        </patternFill>
      </fill>
      <alignment horizontal="center" vertical="bottom" textRotation="0" wrapText="0" indent="0" justifyLastLine="0" shrinkToFit="0" readingOrder="0"/>
      <border diagonalUp="0" diagonalDown="0">
        <left/>
        <right/>
        <top style="thin">
          <color indexed="64"/>
        </top>
        <bottom style="thin">
          <color indexed="64"/>
        </bottom>
        <vertical/>
        <horizontal/>
      </border>
      <protection locked="1" hidden="1"/>
    </dxf>
    <dxf>
      <font>
        <b val="0"/>
        <i val="0"/>
        <strike val="0"/>
        <condense val="0"/>
        <extend val="0"/>
        <outline val="0"/>
        <shadow val="0"/>
        <u val="none"/>
        <vertAlign val="baseline"/>
        <sz val="11"/>
        <color theme="1"/>
        <name val="Calibri"/>
        <scheme val="minor"/>
      </font>
      <numFmt numFmtId="167" formatCode="0.00\ &quot; µV/°C&quot;"/>
      <fill>
        <patternFill patternType="solid">
          <fgColor indexed="64"/>
          <bgColor rgb="FFFFFFCC"/>
        </patternFill>
      </fill>
      <alignment horizontal="center" vertical="bottom" textRotation="0" wrapText="0" indent="0" justifyLastLine="0" shrinkToFit="0" readingOrder="0"/>
      <border diagonalUp="0" diagonalDown="0">
        <left/>
        <right/>
        <top style="thin">
          <color indexed="64"/>
        </top>
        <bottom style="thin">
          <color indexed="64"/>
        </bottom>
        <vertical/>
        <horizontal/>
      </border>
      <protection locked="1" hidden="1"/>
    </dxf>
    <dxf>
      <font>
        <b val="0"/>
        <i val="0"/>
        <strike val="0"/>
        <condense val="0"/>
        <extend val="0"/>
        <outline val="0"/>
        <shadow val="0"/>
        <u val="none"/>
        <vertAlign val="baseline"/>
        <sz val="11"/>
        <color theme="1"/>
        <name val="Calibri"/>
        <scheme val="minor"/>
      </font>
      <numFmt numFmtId="166" formatCode="0.00\ &quot;mV&quot;"/>
      <fill>
        <patternFill patternType="solid">
          <fgColor indexed="64"/>
          <bgColor rgb="FFFFFFCC"/>
        </patternFill>
      </fill>
      <alignment horizontal="center" vertical="bottom" textRotation="0" wrapText="0" indent="0" justifyLastLine="0" shrinkToFit="0" readingOrder="0"/>
      <border diagonalUp="0" diagonalDown="0">
        <left/>
        <right/>
        <top style="thin">
          <color indexed="64"/>
        </top>
        <bottom style="thin">
          <color indexed="64"/>
        </bottom>
        <vertical/>
        <horizontal/>
      </border>
      <protection locked="1" hidden="1"/>
    </dxf>
    <dxf>
      <font>
        <b val="0"/>
        <i val="0"/>
        <strike val="0"/>
        <condense val="0"/>
        <extend val="0"/>
        <outline val="0"/>
        <shadow val="0"/>
        <u val="none"/>
        <vertAlign val="baseline"/>
        <sz val="11"/>
        <color theme="1"/>
        <name val="Calibri"/>
        <scheme val="minor"/>
      </font>
      <numFmt numFmtId="166" formatCode="0.00\ &quot;mV&quot;"/>
      <fill>
        <patternFill patternType="solid">
          <fgColor indexed="64"/>
          <bgColor rgb="FFFFFFCC"/>
        </patternFill>
      </fill>
      <alignment horizontal="center" vertical="bottom" textRotation="0" wrapText="0" indent="0" justifyLastLine="0" shrinkToFit="0" readingOrder="0"/>
      <border diagonalUp="0" diagonalDown="0">
        <left/>
        <right/>
        <top style="thin">
          <color indexed="64"/>
        </top>
        <bottom style="thin">
          <color indexed="64"/>
        </bottom>
        <vertical/>
        <horizontal/>
      </border>
      <protection locked="1" hidden="1"/>
    </dxf>
    <dxf>
      <font>
        <b val="0"/>
        <i val="0"/>
        <strike val="0"/>
        <condense val="0"/>
        <extend val="0"/>
        <outline val="0"/>
        <shadow val="0"/>
        <u val="none"/>
        <vertAlign val="baseline"/>
        <sz val="11"/>
        <color theme="1"/>
        <name val="Calibri"/>
        <scheme val="minor"/>
      </font>
      <numFmt numFmtId="165" formatCode="0\ &quot;ppm/°C&quot;"/>
      <fill>
        <patternFill patternType="solid">
          <fgColor indexed="64"/>
          <bgColor rgb="FFFFFFCC"/>
        </patternFill>
      </fill>
      <alignment horizontal="center" vertical="bottom" textRotation="0" wrapText="0" indent="0" justifyLastLine="0" shrinkToFit="0" readingOrder="0"/>
      <border diagonalUp="0" diagonalDown="0">
        <left/>
        <right/>
        <top style="thin">
          <color indexed="64"/>
        </top>
        <bottom style="thin">
          <color indexed="64"/>
        </bottom>
        <vertical/>
        <horizontal/>
      </border>
      <protection locked="1" hidden="1"/>
    </dxf>
    <dxf>
      <font>
        <b val="0"/>
        <i val="0"/>
        <strike val="0"/>
        <condense val="0"/>
        <extend val="0"/>
        <outline val="0"/>
        <shadow val="0"/>
        <u val="none"/>
        <vertAlign val="baseline"/>
        <sz val="11"/>
        <color theme="1"/>
        <name val="Calibri"/>
        <scheme val="minor"/>
      </font>
      <numFmt numFmtId="165" formatCode="0\ &quot;ppm/°C&quot;"/>
      <fill>
        <patternFill patternType="solid">
          <fgColor indexed="64"/>
          <bgColor rgb="FFFFFFCC"/>
        </patternFill>
      </fill>
      <alignment horizontal="center" vertical="bottom" textRotation="0" wrapText="0" indent="0" justifyLastLine="0" shrinkToFit="0" readingOrder="0"/>
      <border diagonalUp="0" diagonalDown="0">
        <left/>
        <right/>
        <top style="thin">
          <color indexed="64"/>
        </top>
        <bottom style="thin">
          <color indexed="64"/>
        </bottom>
        <vertical/>
        <horizontal/>
      </border>
      <protection locked="1" hidden="1"/>
    </dxf>
    <dxf>
      <font>
        <b val="0"/>
        <i val="0"/>
        <strike val="0"/>
        <condense val="0"/>
        <extend val="0"/>
        <outline val="0"/>
        <shadow val="0"/>
        <u val="none"/>
        <vertAlign val="baseline"/>
        <sz val="11"/>
        <color theme="1"/>
        <name val="Calibri"/>
        <scheme val="minor"/>
      </font>
      <numFmt numFmtId="14" formatCode="0.00%"/>
      <fill>
        <patternFill patternType="solid">
          <fgColor indexed="64"/>
          <bgColor rgb="FFFFFFCC"/>
        </patternFill>
      </fill>
      <alignment horizontal="center" vertical="bottom" textRotation="0" wrapText="0" indent="0" justifyLastLine="0" shrinkToFit="0" readingOrder="0"/>
      <border diagonalUp="0" diagonalDown="0">
        <left/>
        <right/>
        <top style="thin">
          <color indexed="64"/>
        </top>
        <bottom style="thin">
          <color indexed="64"/>
        </bottom>
        <vertical/>
        <horizontal/>
      </border>
      <protection locked="1" hidden="1"/>
    </dxf>
    <dxf>
      <font>
        <b val="0"/>
        <i val="0"/>
        <strike val="0"/>
        <condense val="0"/>
        <extend val="0"/>
        <outline val="0"/>
        <shadow val="0"/>
        <u val="none"/>
        <vertAlign val="baseline"/>
        <sz val="11"/>
        <color theme="1"/>
        <name val="Calibri"/>
        <scheme val="minor"/>
      </font>
      <numFmt numFmtId="14" formatCode="0.00%"/>
      <fill>
        <patternFill patternType="solid">
          <fgColor indexed="64"/>
          <bgColor rgb="FFFFFFCC"/>
        </patternFill>
      </fill>
      <alignment horizontal="center" vertical="bottom" textRotation="0" wrapText="0" indent="0" justifyLastLine="0" shrinkToFit="0" readingOrder="0"/>
      <border diagonalUp="0" diagonalDown="0">
        <left/>
        <right/>
        <top style="thin">
          <color auto="1"/>
        </top>
        <bottom style="thin">
          <color auto="1"/>
        </bottom>
      </border>
      <protection locked="1" hidden="1"/>
    </dxf>
    <dxf>
      <font>
        <b val="0"/>
        <i val="0"/>
        <strike val="0"/>
        <condense val="0"/>
        <extend val="0"/>
        <outline val="0"/>
        <shadow val="0"/>
        <u val="none"/>
        <vertAlign val="baseline"/>
        <sz val="11"/>
        <color theme="1"/>
        <name val="Calibri"/>
        <family val="2"/>
        <scheme val="minor"/>
      </font>
      <numFmt numFmtId="30" formatCode="@"/>
      <fill>
        <patternFill patternType="solid">
          <fgColor indexed="64"/>
          <bgColor rgb="FFFFFFCC"/>
        </patternFill>
      </fill>
      <alignment horizontal="center" vertical="bottom" textRotation="0" wrapText="0" indent="0" justifyLastLine="0" shrinkToFit="0" readingOrder="0"/>
      <border diagonalUp="0" diagonalDown="0">
        <left/>
        <right/>
        <top style="thin">
          <color auto="1"/>
        </top>
        <bottom style="thin">
          <color auto="1"/>
        </bottom>
        <vertical/>
        <horizontal/>
      </border>
      <protection locked="1" hidden="1"/>
    </dxf>
    <dxf>
      <numFmt numFmtId="30" formatCode="@"/>
      <fill>
        <patternFill patternType="solid">
          <fgColor indexed="64"/>
          <bgColor rgb="FFFFFFCC"/>
        </patternFill>
      </fill>
      <alignment horizontal="center" vertical="bottom" textRotation="0" wrapText="0" indent="0" justifyLastLine="0" shrinkToFit="0" readingOrder="0"/>
      <border diagonalUp="0" diagonalDown="0">
        <left style="thin">
          <color indexed="64"/>
        </left>
        <right/>
        <top/>
        <bottom/>
        <vertical/>
        <horizontal/>
      </border>
      <protection locked="1" hidden="1"/>
    </dxf>
    <dxf>
      <alignment horizontal="left" vertical="bottom" textRotation="0" wrapText="0" indent="0" justifyLastLine="0" shrinkToFit="0" readingOrder="0"/>
      <border>
        <right style="thin">
          <color indexed="64"/>
        </right>
      </border>
      <protection locked="1" hidden="1"/>
    </dxf>
    <dxf>
      <border outline="0">
        <bottom style="thin">
          <color indexed="64"/>
        </bottom>
      </border>
    </dxf>
    <dxf>
      <font>
        <b val="0"/>
        <i val="0"/>
        <strike val="0"/>
        <condense val="0"/>
        <extend val="0"/>
        <outline val="0"/>
        <shadow val="0"/>
        <u val="none"/>
        <vertAlign val="baseline"/>
        <sz val="11"/>
        <color theme="1"/>
        <name val="Calibri"/>
        <scheme val="minor"/>
      </font>
      <fill>
        <patternFill patternType="solid">
          <fgColor indexed="64"/>
          <bgColor rgb="FFFFFFCC"/>
        </patternFill>
      </fill>
      <alignment horizontal="center" vertical="bottom" textRotation="0" wrapText="0" indent="0" justifyLastLine="0" shrinkToFit="0" readingOrder="0"/>
      <protection locked="1" hidden="1"/>
    </dxf>
    <dxf>
      <border>
        <bottom style="thin">
          <color indexed="64"/>
        </bottom>
      </border>
    </dxf>
    <dxf>
      <font>
        <b/>
        <i val="0"/>
        <strike val="0"/>
        <condense val="0"/>
        <extend val="0"/>
        <outline val="0"/>
        <shadow val="0"/>
        <u val="none"/>
        <vertAlign val="baseline"/>
        <sz val="11"/>
        <color theme="1"/>
        <name val="Calibri"/>
        <scheme val="minor"/>
      </font>
      <alignment horizontal="center" vertical="bottom" textRotation="0" wrapText="0" indent="0" justifyLastLine="0" shrinkToFit="0" readingOrder="0"/>
      <border diagonalUp="0" diagonalDown="0">
        <left/>
        <right/>
        <top/>
        <bottom/>
        <vertical/>
        <horizontal/>
      </border>
      <protection locked="1" hidden="1"/>
    </dxf>
    <dxf>
      <font>
        <b val="0"/>
        <i val="0"/>
        <strike val="0"/>
        <condense val="0"/>
        <extend val="0"/>
        <outline val="0"/>
        <shadow val="0"/>
        <u val="none"/>
        <vertAlign val="baseline"/>
        <sz val="14"/>
        <color rgb="FF464646"/>
        <name val="Arial"/>
        <scheme val="none"/>
      </font>
      <numFmt numFmtId="0" formatCode="General"/>
      <fill>
        <patternFill patternType="solid">
          <fgColor indexed="64"/>
          <bgColor rgb="FFF7F7F7"/>
        </patternFill>
      </fill>
      <alignment horizontal="center" vertical="center" textRotation="0" wrapText="1" indent="0" justifyLastLine="0" shrinkToFit="0" readingOrder="0"/>
      <protection hidden="0"/>
    </dxf>
    <dxf>
      <font>
        <b val="0"/>
        <i val="0"/>
        <strike val="0"/>
        <condense val="0"/>
        <extend val="0"/>
        <outline val="0"/>
        <shadow val="0"/>
        <u val="none"/>
        <vertAlign val="baseline"/>
        <sz val="14"/>
        <color rgb="FF464646"/>
        <name val="Arial"/>
        <scheme val="none"/>
      </font>
      <numFmt numFmtId="0" formatCode="General"/>
      <fill>
        <patternFill patternType="solid">
          <fgColor indexed="64"/>
          <bgColor rgb="FFF7F7F7"/>
        </patternFill>
      </fill>
      <alignment horizontal="center" vertical="center" textRotation="0" wrapText="1" indent="0" justifyLastLine="0" shrinkToFit="0" readingOrder="0"/>
      <protection hidden="0"/>
    </dxf>
    <dxf>
      <font>
        <b val="0"/>
        <i val="0"/>
        <strike val="0"/>
        <condense val="0"/>
        <extend val="0"/>
        <outline val="0"/>
        <shadow val="0"/>
        <u val="none"/>
        <vertAlign val="baseline"/>
        <sz val="14"/>
        <color rgb="FF464646"/>
        <name val="Arial"/>
        <scheme val="none"/>
      </font>
      <numFmt numFmtId="0" formatCode="General"/>
      <fill>
        <patternFill patternType="solid">
          <fgColor indexed="64"/>
          <bgColor rgb="FFF7F7F7"/>
        </patternFill>
      </fill>
      <alignment horizontal="center" vertical="center" textRotation="0" wrapText="1" indent="0" justifyLastLine="0" shrinkToFit="0" readingOrder="0"/>
      <protection hidden="0"/>
    </dxf>
    <dxf>
      <font>
        <b val="0"/>
        <i val="0"/>
        <strike val="0"/>
        <condense val="0"/>
        <extend val="0"/>
        <outline val="0"/>
        <shadow val="0"/>
        <u val="none"/>
        <vertAlign val="baseline"/>
        <sz val="14"/>
        <color rgb="FF464646"/>
        <name val="Arial"/>
        <scheme val="none"/>
      </font>
      <numFmt numFmtId="0" formatCode="General"/>
      <fill>
        <patternFill patternType="solid">
          <fgColor indexed="64"/>
          <bgColor rgb="FFF7F7F7"/>
        </patternFill>
      </fill>
      <alignment horizontal="center" vertical="center" textRotation="0" wrapText="1" indent="0" justifyLastLine="0" shrinkToFit="0" readingOrder="0"/>
      <protection hidden="0"/>
    </dxf>
    <dxf>
      <font>
        <b val="0"/>
        <i val="0"/>
        <strike val="0"/>
        <condense val="0"/>
        <extend val="0"/>
        <outline val="0"/>
        <shadow val="0"/>
        <u val="none"/>
        <vertAlign val="baseline"/>
        <sz val="14"/>
        <color rgb="FF464646"/>
        <name val="Arial"/>
        <scheme val="none"/>
      </font>
      <numFmt numFmtId="0" formatCode="General"/>
      <fill>
        <patternFill patternType="solid">
          <fgColor indexed="64"/>
          <bgColor rgb="FFF7F7F7"/>
        </patternFill>
      </fill>
      <alignment horizontal="center" vertical="center" textRotation="0" wrapText="1" indent="0" justifyLastLine="0" shrinkToFit="0" readingOrder="0"/>
      <protection hidden="0"/>
    </dxf>
    <dxf>
      <font>
        <b val="0"/>
        <i val="0"/>
        <strike val="0"/>
        <condense val="0"/>
        <extend val="0"/>
        <outline val="0"/>
        <shadow val="0"/>
        <u val="none"/>
        <vertAlign val="baseline"/>
        <sz val="14"/>
        <color rgb="FF464646"/>
        <name val="Arial"/>
        <scheme val="none"/>
      </font>
      <numFmt numFmtId="0" formatCode="General"/>
      <fill>
        <patternFill patternType="solid">
          <fgColor indexed="64"/>
          <bgColor rgb="FFF7F7F7"/>
        </patternFill>
      </fill>
      <alignment horizontal="center" vertical="center" textRotation="0" wrapText="1" indent="0" justifyLastLine="0" shrinkToFit="0" readingOrder="0"/>
      <protection hidden="0"/>
    </dxf>
    <dxf>
      <font>
        <b val="0"/>
        <i val="0"/>
        <strike val="0"/>
        <condense val="0"/>
        <extend val="0"/>
        <outline val="0"/>
        <shadow val="0"/>
        <u val="none"/>
        <vertAlign val="baseline"/>
        <sz val="14"/>
        <color rgb="FF464646"/>
        <name val="Arial"/>
        <scheme val="none"/>
      </font>
      <numFmt numFmtId="0" formatCode="General"/>
      <fill>
        <patternFill patternType="solid">
          <fgColor indexed="64"/>
          <bgColor rgb="FFF7F7F7"/>
        </patternFill>
      </fill>
      <alignment horizontal="center" vertical="center" textRotation="0" wrapText="1" indent="0" justifyLastLine="0" shrinkToFit="0" readingOrder="0"/>
      <protection hidden="0"/>
    </dxf>
    <dxf>
      <font>
        <b val="0"/>
        <i val="0"/>
        <strike val="0"/>
        <condense val="0"/>
        <extend val="0"/>
        <outline val="0"/>
        <shadow val="0"/>
        <u val="none"/>
        <vertAlign val="baseline"/>
        <sz val="14"/>
        <color rgb="FF464646"/>
        <name val="Arial"/>
        <scheme val="none"/>
      </font>
      <numFmt numFmtId="0" formatCode="General"/>
      <fill>
        <patternFill patternType="solid">
          <fgColor indexed="64"/>
          <bgColor rgb="FFF7F7F7"/>
        </patternFill>
      </fill>
      <alignment horizontal="center" vertical="center" textRotation="0" wrapText="1" indent="0" justifyLastLine="0" shrinkToFit="0" readingOrder="0"/>
      <protection hidden="0"/>
    </dxf>
    <dxf>
      <font>
        <b val="0"/>
        <i val="0"/>
        <strike val="0"/>
        <condense val="0"/>
        <extend val="0"/>
        <outline val="0"/>
        <shadow val="0"/>
        <u val="none"/>
        <vertAlign val="baseline"/>
        <sz val="14"/>
        <color rgb="FF464646"/>
        <name val="Arial"/>
        <scheme val="none"/>
      </font>
      <numFmt numFmtId="1" formatCode="0"/>
      <fill>
        <patternFill patternType="solid">
          <fgColor indexed="64"/>
          <bgColor rgb="FFF7F7F7"/>
        </patternFill>
      </fill>
      <alignment horizontal="center" vertical="center" textRotation="0" wrapText="1" indent="0" justifyLastLine="0" shrinkToFit="0" readingOrder="0"/>
      <border diagonalUp="0" diagonalDown="0">
        <left/>
        <right style="medium">
          <color rgb="FFC0C0C9"/>
        </right>
        <top/>
        <bottom/>
        <vertical/>
        <horizontal/>
      </border>
      <protection hidden="0"/>
    </dxf>
    <dxf>
      <font>
        <b val="0"/>
        <i val="0"/>
        <strike val="0"/>
        <condense val="0"/>
        <extend val="0"/>
        <outline val="0"/>
        <shadow val="0"/>
        <u val="none"/>
        <vertAlign val="baseline"/>
        <sz val="14"/>
        <color rgb="FF464646"/>
        <name val="Arial"/>
        <scheme val="none"/>
      </font>
      <fill>
        <patternFill patternType="solid">
          <fgColor indexed="64"/>
          <bgColor rgb="FFF7F7F7"/>
        </patternFill>
      </fill>
      <alignment horizontal="center" vertical="center" textRotation="0" wrapText="1" indent="0" justifyLastLine="0" shrinkToFit="0" readingOrder="0"/>
      <border diagonalUp="0" diagonalDown="0">
        <left/>
        <right style="medium">
          <color rgb="FFC0C0C9"/>
        </right>
        <top/>
        <bottom/>
        <vertical/>
        <horizontal/>
      </border>
      <protection hidden="0"/>
    </dxf>
    <dxf>
      <border outline="0">
        <bottom style="medium">
          <color rgb="FFC0C0C9"/>
        </bottom>
      </border>
    </dxf>
    <dxf>
      <font>
        <b val="0"/>
        <i val="0"/>
        <strike val="0"/>
        <condense val="0"/>
        <extend val="0"/>
        <outline val="0"/>
        <shadow val="0"/>
        <u val="none"/>
        <vertAlign val="baseline"/>
        <sz val="14"/>
        <color rgb="FF464646"/>
        <name val="Arial"/>
        <scheme val="none"/>
      </font>
      <fill>
        <patternFill patternType="solid">
          <fgColor indexed="64"/>
          <bgColor rgb="FFF7F7F7"/>
        </patternFill>
      </fill>
      <alignment horizontal="center" vertical="center" textRotation="0" wrapText="1" indent="0" justifyLastLine="0" shrinkToFit="0" readingOrder="0"/>
      <protection hidden="0"/>
    </dxf>
    <dxf>
      <protection hidden="0"/>
    </dxf>
  </dxfs>
  <tableStyles count="0" defaultTableStyle="TableStyleMedium2" defaultPivotStyle="PivotStyleMedium9"/>
  <colors>
    <mruColors>
      <color rgb="FFCCFFCC"/>
      <color rgb="FFFFFFCC"/>
      <color rgb="FF00FF00"/>
      <color rgb="FFBDEEFF"/>
      <color rgb="FF89E0FF"/>
      <color rgb="FFDE0000"/>
      <color rgb="FFFFFFFF"/>
      <color rgb="FF47C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2.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externalLink" Target="externalLinks/externalLink1.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3.xml"/></Relationships>
</file>

<file path=xl/drawings/_rels/drawing1.xml.rels><?xml version="1.0" encoding="UTF-8" standalone="yes"?>
<Relationships xmlns="http://schemas.openxmlformats.org/package/2006/relationships"><Relationship Id="rId2" Type="http://schemas.openxmlformats.org/officeDocument/2006/relationships/image" Target="../media/image1.gif"/><Relationship Id="rId1" Type="http://schemas.openxmlformats.org/officeDocument/2006/relationships/hyperlink" Target="http://www.ti.com" TargetMode="External"/></Relationships>
</file>

<file path=xl/drawings/_rels/drawing2.xml.rels><?xml version="1.0" encoding="UTF-8" standalone="yes"?>
<Relationships xmlns="http://schemas.openxmlformats.org/package/2006/relationships"><Relationship Id="rId3" Type="http://schemas.openxmlformats.org/officeDocument/2006/relationships/hyperlink" Target="http://e2e.ti.com/" TargetMode="External"/><Relationship Id="rId2" Type="http://schemas.openxmlformats.org/officeDocument/2006/relationships/image" Target="../media/image1.gif"/><Relationship Id="rId1" Type="http://schemas.openxmlformats.org/officeDocument/2006/relationships/hyperlink" Target="http://www.ti.com" TargetMode="External"/></Relationships>
</file>

<file path=xl/drawings/_rels/drawing3.xml.rels><?xml version="1.0" encoding="UTF-8" standalone="yes"?>
<Relationships xmlns="http://schemas.openxmlformats.org/package/2006/relationships"><Relationship Id="rId2" Type="http://schemas.openxmlformats.org/officeDocument/2006/relationships/image" Target="../media/image1.gif"/><Relationship Id="rId1" Type="http://schemas.openxmlformats.org/officeDocument/2006/relationships/hyperlink" Target="http://www.ti.com" TargetMode="External"/></Relationships>
</file>

<file path=xl/drawings/_rels/drawing4.xml.rels><?xml version="1.0" encoding="UTF-8" standalone="yes"?>
<Relationships xmlns="http://schemas.openxmlformats.org/package/2006/relationships"><Relationship Id="rId3" Type="http://schemas.openxmlformats.org/officeDocument/2006/relationships/image" Target="../media/image2.emf"/><Relationship Id="rId2" Type="http://schemas.openxmlformats.org/officeDocument/2006/relationships/image" Target="../media/image1.gif"/><Relationship Id="rId1" Type="http://schemas.openxmlformats.org/officeDocument/2006/relationships/hyperlink" Target="http://www.ti.com" TargetMode="External"/><Relationship Id="rId4" Type="http://schemas.openxmlformats.org/officeDocument/2006/relationships/image" Target="../media/image3.png"/></Relationships>
</file>

<file path=xl/drawings/_rels/drawing5.xml.rels><?xml version="1.0" encoding="UTF-8" standalone="yes"?>
<Relationships xmlns="http://schemas.openxmlformats.org/package/2006/relationships"><Relationship Id="rId3" Type="http://schemas.openxmlformats.org/officeDocument/2006/relationships/image" Target="../media/image5.png"/><Relationship Id="rId2" Type="http://schemas.openxmlformats.org/officeDocument/2006/relationships/image" Target="../media/image1.gif"/><Relationship Id="rId1" Type="http://schemas.openxmlformats.org/officeDocument/2006/relationships/hyperlink" Target="http://www.ti.com" TargetMode="External"/><Relationship Id="rId6" Type="http://schemas.openxmlformats.org/officeDocument/2006/relationships/image" Target="../media/image8.png"/><Relationship Id="rId5" Type="http://schemas.openxmlformats.org/officeDocument/2006/relationships/image" Target="../media/image7.png"/><Relationship Id="rId4" Type="http://schemas.openxmlformats.org/officeDocument/2006/relationships/image" Target="../media/image6.png"/></Relationships>
</file>

<file path=xl/drawings/_rels/drawing6.xml.rels><?xml version="1.0" encoding="UTF-8" standalone="yes"?>
<Relationships xmlns="http://schemas.openxmlformats.org/package/2006/relationships"><Relationship Id="rId3" Type="http://schemas.openxmlformats.org/officeDocument/2006/relationships/hyperlink" Target="http://e2e.ti.com/" TargetMode="External"/><Relationship Id="rId2" Type="http://schemas.openxmlformats.org/officeDocument/2006/relationships/image" Target="../media/image1.gif"/><Relationship Id="rId1" Type="http://schemas.openxmlformats.org/officeDocument/2006/relationships/hyperlink" Target="http://www.ti.com" TargetMode="External"/></Relationships>
</file>

<file path=xl/drawings/_rels/vmlDrawing1.vml.rels><?xml version="1.0" encoding="UTF-8" standalone="yes"?>
<Relationships xmlns="http://schemas.openxmlformats.org/package/2006/relationships"><Relationship Id="rId1" Type="http://schemas.openxmlformats.org/officeDocument/2006/relationships/image" Target="../media/image4.emf"/></Relationships>
</file>

<file path=xl/drawings/drawing1.xml><?xml version="1.0" encoding="utf-8"?>
<xdr:wsDr xmlns:xdr="http://schemas.openxmlformats.org/drawingml/2006/spreadsheetDrawing" xmlns:a="http://schemas.openxmlformats.org/drawingml/2006/main">
  <xdr:twoCellAnchor editAs="oneCell">
    <xdr:from>
      <xdr:col>0</xdr:col>
      <xdr:colOff>85725</xdr:colOff>
      <xdr:row>0</xdr:row>
      <xdr:rowOff>152400</xdr:rowOff>
    </xdr:from>
    <xdr:to>
      <xdr:col>3</xdr:col>
      <xdr:colOff>466725</xdr:colOff>
      <xdr:row>2</xdr:row>
      <xdr:rowOff>66626</xdr:rowOff>
    </xdr:to>
    <xdr:pic>
      <xdr:nvPicPr>
        <xdr:cNvPr id="2" name="Picture 1" descr="ti logo">
          <a:hlinkClick xmlns:r="http://schemas.openxmlformats.org/officeDocument/2006/relationships" r:id="rId1"/>
          <a:extLst>
            <a:ext uri="{FF2B5EF4-FFF2-40B4-BE49-F238E27FC236}">
              <a16:creationId xmlns:a16="http://schemas.microsoft.com/office/drawing/2014/main" id="{00000000-0008-0000-0000-000002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85725" y="152400"/>
          <a:ext cx="2314575" cy="29522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oneCellAnchor>
    <xdr:from>
      <xdr:col>4</xdr:col>
      <xdr:colOff>638175</xdr:colOff>
      <xdr:row>0</xdr:row>
      <xdr:rowOff>133350</xdr:rowOff>
    </xdr:from>
    <xdr:ext cx="9070974" cy="342786"/>
    <xdr:sp macro="" textlink="">
      <xdr:nvSpPr>
        <xdr:cNvPr id="3" name="TextBox 2">
          <a:extLst>
            <a:ext uri="{FF2B5EF4-FFF2-40B4-BE49-F238E27FC236}">
              <a16:creationId xmlns:a16="http://schemas.microsoft.com/office/drawing/2014/main" id="{00000000-0008-0000-0000-000003000000}"/>
            </a:ext>
          </a:extLst>
        </xdr:cNvPr>
        <xdr:cNvSpPr txBox="1"/>
      </xdr:nvSpPr>
      <xdr:spPr>
        <a:xfrm>
          <a:off x="3368675" y="133350"/>
          <a:ext cx="9070974" cy="34278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pPr algn="l"/>
          <a:r>
            <a:rPr lang="en-US" sz="1600" b="1">
              <a:latin typeface="+mn-lt"/>
            </a:rPr>
            <a:t>Isolated Amplifier Voltage</a:t>
          </a:r>
          <a:r>
            <a:rPr lang="en-US" sz="1600" b="1" baseline="0">
              <a:latin typeface="+mn-lt"/>
            </a:rPr>
            <a:t> Sensing Calculator: </a:t>
          </a:r>
          <a:r>
            <a:rPr lang="en-US" sz="1600" b="1">
              <a:latin typeface="+mn-lt"/>
            </a:rPr>
            <a:t>Table of Contents</a:t>
          </a:r>
        </a:p>
      </xdr:txBody>
    </xdr:sp>
    <xdr:clientData/>
  </xdr:oneCellAnchor>
</xdr:wsDr>
</file>

<file path=xl/drawings/drawing2.xml><?xml version="1.0" encoding="utf-8"?>
<xdr:wsDr xmlns:xdr="http://schemas.openxmlformats.org/drawingml/2006/spreadsheetDrawing" xmlns:a="http://schemas.openxmlformats.org/drawingml/2006/main">
  <xdr:oneCellAnchor>
    <xdr:from>
      <xdr:col>0</xdr:col>
      <xdr:colOff>85725</xdr:colOff>
      <xdr:row>0</xdr:row>
      <xdr:rowOff>152400</xdr:rowOff>
    </xdr:from>
    <xdr:ext cx="2314575" cy="295226"/>
    <xdr:pic>
      <xdr:nvPicPr>
        <xdr:cNvPr id="2" name="Picture 1" descr="ti logo">
          <a:hlinkClick xmlns:r="http://schemas.openxmlformats.org/officeDocument/2006/relationships" r:id="rId1"/>
          <a:extLst>
            <a:ext uri="{FF2B5EF4-FFF2-40B4-BE49-F238E27FC236}">
              <a16:creationId xmlns:a16="http://schemas.microsoft.com/office/drawing/2014/main" id="{00000000-0008-0000-0100-000002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85725" y="152400"/>
          <a:ext cx="2314575" cy="295226"/>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6</xdr:col>
      <xdr:colOff>558800</xdr:colOff>
      <xdr:row>0</xdr:row>
      <xdr:rowOff>82550</xdr:rowOff>
    </xdr:from>
    <xdr:ext cx="3752850" cy="342786"/>
    <xdr:sp macro="" textlink="">
      <xdr:nvSpPr>
        <xdr:cNvPr id="3" name="TextBox 2">
          <a:extLst>
            <a:ext uri="{FF2B5EF4-FFF2-40B4-BE49-F238E27FC236}">
              <a16:creationId xmlns:a16="http://schemas.microsoft.com/office/drawing/2014/main" id="{00000000-0008-0000-0100-000003000000}"/>
            </a:ext>
          </a:extLst>
        </xdr:cNvPr>
        <xdr:cNvSpPr txBox="1"/>
      </xdr:nvSpPr>
      <xdr:spPr>
        <a:xfrm>
          <a:off x="6673850" y="82550"/>
          <a:ext cx="3752850" cy="34278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pPr algn="ctr"/>
          <a:r>
            <a:rPr lang="en-US" sz="1600" b="1">
              <a:latin typeface="+mn-lt"/>
            </a:rPr>
            <a:t>How to use this tool...</a:t>
          </a:r>
        </a:p>
      </xdr:txBody>
    </xdr:sp>
    <xdr:clientData/>
  </xdr:oneCellAnchor>
  <xdr:oneCellAnchor>
    <xdr:from>
      <xdr:col>0</xdr:col>
      <xdr:colOff>47625</xdr:colOff>
      <xdr:row>5</xdr:row>
      <xdr:rowOff>0</xdr:rowOff>
    </xdr:from>
    <xdr:ext cx="184731" cy="264560"/>
    <xdr:sp macro="" textlink="">
      <xdr:nvSpPr>
        <xdr:cNvPr id="4" name="TextBox 3">
          <a:hlinkClick xmlns:r="http://schemas.openxmlformats.org/officeDocument/2006/relationships" r:id="rId3"/>
          <a:extLst>
            <a:ext uri="{FF2B5EF4-FFF2-40B4-BE49-F238E27FC236}">
              <a16:creationId xmlns:a16="http://schemas.microsoft.com/office/drawing/2014/main" id="{00000000-0008-0000-0100-000004000000}"/>
            </a:ext>
          </a:extLst>
        </xdr:cNvPr>
        <xdr:cNvSpPr txBox="1"/>
      </xdr:nvSpPr>
      <xdr:spPr>
        <a:xfrm>
          <a:off x="47625" y="1028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wsDr>
</file>

<file path=xl/drawings/drawing3.xml><?xml version="1.0" encoding="utf-8"?>
<xdr:wsDr xmlns:xdr="http://schemas.openxmlformats.org/drawingml/2006/spreadsheetDrawing" xmlns:a="http://schemas.openxmlformats.org/drawingml/2006/main">
  <xdr:twoCellAnchor editAs="oneCell">
    <xdr:from>
      <xdr:col>0</xdr:col>
      <xdr:colOff>85725</xdr:colOff>
      <xdr:row>0</xdr:row>
      <xdr:rowOff>152400</xdr:rowOff>
    </xdr:from>
    <xdr:to>
      <xdr:col>3</xdr:col>
      <xdr:colOff>473075</xdr:colOff>
      <xdr:row>2</xdr:row>
      <xdr:rowOff>79326</xdr:rowOff>
    </xdr:to>
    <xdr:pic>
      <xdr:nvPicPr>
        <xdr:cNvPr id="2" name="Picture 1" descr="ti logo">
          <a:hlinkClick xmlns:r="http://schemas.openxmlformats.org/officeDocument/2006/relationships" r:id="rId1"/>
          <a:extLst>
            <a:ext uri="{FF2B5EF4-FFF2-40B4-BE49-F238E27FC236}">
              <a16:creationId xmlns:a16="http://schemas.microsoft.com/office/drawing/2014/main" id="{63FEC426-F9E1-430A-936A-749271874321}"/>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82550" y="152400"/>
          <a:ext cx="2352675" cy="29840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oneCellAnchor>
    <xdr:from>
      <xdr:col>4</xdr:col>
      <xdr:colOff>638175</xdr:colOff>
      <xdr:row>0</xdr:row>
      <xdr:rowOff>133350</xdr:rowOff>
    </xdr:from>
    <xdr:ext cx="9070974" cy="342786"/>
    <xdr:sp macro="" textlink="">
      <xdr:nvSpPr>
        <xdr:cNvPr id="3" name="TextBox 2">
          <a:extLst>
            <a:ext uri="{FF2B5EF4-FFF2-40B4-BE49-F238E27FC236}">
              <a16:creationId xmlns:a16="http://schemas.microsoft.com/office/drawing/2014/main" id="{ABFE37BE-4A38-4A84-B751-3649402818D1}"/>
            </a:ext>
          </a:extLst>
        </xdr:cNvPr>
        <xdr:cNvSpPr txBox="1"/>
      </xdr:nvSpPr>
      <xdr:spPr>
        <a:xfrm>
          <a:off x="3530600" y="133350"/>
          <a:ext cx="9070974" cy="34278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pPr algn="l"/>
          <a:r>
            <a:rPr lang="en-US" sz="1600" b="1">
              <a:latin typeface="+mn-lt"/>
            </a:rPr>
            <a:t>Isolated Amplifier</a:t>
          </a:r>
          <a:r>
            <a:rPr lang="en-US" sz="1600" b="1" baseline="0">
              <a:latin typeface="+mn-lt"/>
            </a:rPr>
            <a:t> Voltage Sensing Calculator: Directions</a:t>
          </a:r>
          <a:endParaRPr lang="en-US" sz="1600" b="1">
            <a:latin typeface="+mn-lt"/>
          </a:endParaRPr>
        </a:p>
      </xdr:txBody>
    </xdr:sp>
    <xdr:clientData/>
  </xdr:oneCellAnchor>
</xdr:wsDr>
</file>

<file path=xl/drawings/drawing4.xml><?xml version="1.0" encoding="utf-8"?>
<xdr:wsDr xmlns:xdr="http://schemas.openxmlformats.org/drawingml/2006/spreadsheetDrawing" xmlns:a="http://schemas.openxmlformats.org/drawingml/2006/main">
  <xdr:oneCellAnchor>
    <xdr:from>
      <xdr:col>2</xdr:col>
      <xdr:colOff>219075</xdr:colOff>
      <xdr:row>0</xdr:row>
      <xdr:rowOff>85725</xdr:rowOff>
    </xdr:from>
    <xdr:ext cx="8763000" cy="468013"/>
    <xdr:sp macro="" textlink="">
      <xdr:nvSpPr>
        <xdr:cNvPr id="2" name="TextBox 1">
          <a:extLst>
            <a:ext uri="{FF2B5EF4-FFF2-40B4-BE49-F238E27FC236}">
              <a16:creationId xmlns:a16="http://schemas.microsoft.com/office/drawing/2014/main" id="{00000000-0008-0000-0200-000002000000}"/>
            </a:ext>
          </a:extLst>
        </xdr:cNvPr>
        <xdr:cNvSpPr txBox="1"/>
      </xdr:nvSpPr>
      <xdr:spPr>
        <a:xfrm>
          <a:off x="1838325" y="85725"/>
          <a:ext cx="8763000" cy="46801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pPr algn="ctr"/>
          <a:r>
            <a:rPr lang="en-US" sz="2400" b="1">
              <a:latin typeface="+mn-lt"/>
              <a:cs typeface="Calibri" panose="020F0502020204030204" pitchFamily="34" charset="0"/>
            </a:rPr>
            <a:t>Isolated Amplifier Voltage Sensing Calculator</a:t>
          </a:r>
        </a:p>
      </xdr:txBody>
    </xdr:sp>
    <xdr:clientData/>
  </xdr:oneCellAnchor>
  <xdr:twoCellAnchor editAs="oneCell">
    <xdr:from>
      <xdr:col>0</xdr:col>
      <xdr:colOff>95250</xdr:colOff>
      <xdr:row>0</xdr:row>
      <xdr:rowOff>133350</xdr:rowOff>
    </xdr:from>
    <xdr:to>
      <xdr:col>2</xdr:col>
      <xdr:colOff>912283</xdr:colOff>
      <xdr:row>2</xdr:row>
      <xdr:rowOff>74563</xdr:rowOff>
    </xdr:to>
    <xdr:pic>
      <xdr:nvPicPr>
        <xdr:cNvPr id="9" name="Picture 8" descr="ti logo">
          <a:hlinkClick xmlns:r="http://schemas.openxmlformats.org/officeDocument/2006/relationships" r:id="rId1"/>
          <a:extLst>
            <a:ext uri="{FF2B5EF4-FFF2-40B4-BE49-F238E27FC236}">
              <a16:creationId xmlns:a16="http://schemas.microsoft.com/office/drawing/2014/main" id="{00000000-0008-0000-0200-000009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95250" y="133350"/>
          <a:ext cx="2324100" cy="31427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mc:AlternateContent xmlns:mc="http://schemas.openxmlformats.org/markup-compatibility/2006">
    <mc:Choice xmlns:a14="http://schemas.microsoft.com/office/drawing/2010/main" Requires="a14">
      <xdr:twoCellAnchor editAs="oneCell">
        <xdr:from>
          <xdr:col>1</xdr:col>
          <xdr:colOff>7409</xdr:colOff>
          <xdr:row>5</xdr:row>
          <xdr:rowOff>0</xdr:rowOff>
        </xdr:from>
        <xdr:to>
          <xdr:col>4</xdr:col>
          <xdr:colOff>1144587</xdr:colOff>
          <xdr:row>21</xdr:row>
          <xdr:rowOff>123650</xdr:rowOff>
        </xdr:to>
        <xdr:pic>
          <xdr:nvPicPr>
            <xdr:cNvPr id="12" name="Picture 11">
              <a:extLst>
                <a:ext uri="{FF2B5EF4-FFF2-40B4-BE49-F238E27FC236}">
                  <a16:creationId xmlns:a16="http://schemas.microsoft.com/office/drawing/2014/main" id="{00000000-0008-0000-0200-00000C000000}"/>
                </a:ext>
              </a:extLst>
            </xdr:cNvPr>
            <xdr:cNvPicPr>
              <a:picLocks noChangeAspect="1"/>
              <a:extLst>
                <a:ext uri="{84589F7E-364E-4C9E-8A38-B11213B215E9}">
                  <a14:cameraTool cellRange="Picture" spid="_x0000_s13277"/>
                </a:ext>
              </a:extLst>
            </xdr:cNvPicPr>
          </xdr:nvPicPr>
          <xdr:blipFill>
            <a:blip xmlns:r="http://schemas.openxmlformats.org/officeDocument/2006/relationships" r:embed="rId3"/>
            <a:stretch>
              <a:fillRect/>
            </a:stretch>
          </xdr:blipFill>
          <xdr:spPr>
            <a:xfrm>
              <a:off x="188384" y="952500"/>
              <a:ext cx="5323416" cy="3200225"/>
            </a:xfrm>
            <a:prstGeom prst="rect">
              <a:avLst/>
            </a:prstGeom>
            <a:ln>
              <a:solidFill>
                <a:srgbClr val="FF0000"/>
              </a:solidFill>
            </a:ln>
          </xdr:spPr>
        </xdr:pic>
        <xdr:clientData/>
      </xdr:twoCellAnchor>
    </mc:Choice>
    <mc:Fallback/>
  </mc:AlternateContent>
  <xdr:twoCellAnchor editAs="oneCell">
    <xdr:from>
      <xdr:col>1</xdr:col>
      <xdr:colOff>22224</xdr:colOff>
      <xdr:row>51</xdr:row>
      <xdr:rowOff>28258</xdr:rowOff>
    </xdr:from>
    <xdr:to>
      <xdr:col>8</xdr:col>
      <xdr:colOff>904874</xdr:colOff>
      <xdr:row>60</xdr:row>
      <xdr:rowOff>11112</xdr:rowOff>
    </xdr:to>
    <xdr:pic>
      <xdr:nvPicPr>
        <xdr:cNvPr id="4" name="Picture 3">
          <a:extLst>
            <a:ext uri="{FF2B5EF4-FFF2-40B4-BE49-F238E27FC236}">
              <a16:creationId xmlns:a16="http://schemas.microsoft.com/office/drawing/2014/main" id="{8332DEC7-B009-408F-99D6-74398265B045}"/>
            </a:ext>
          </a:extLst>
        </xdr:cNvPr>
        <xdr:cNvPicPr>
          <a:picLocks noChangeAspect="1"/>
        </xdr:cNvPicPr>
      </xdr:nvPicPr>
      <xdr:blipFill rotWithShape="1">
        <a:blip xmlns:r="http://schemas.openxmlformats.org/officeDocument/2006/relationships" r:embed="rId4"/>
        <a:srcRect l="-16231" t="-988" r="-14066" b="1718"/>
        <a:stretch/>
      </xdr:blipFill>
      <xdr:spPr>
        <a:xfrm>
          <a:off x="203199" y="9839008"/>
          <a:ext cx="8258175" cy="2876867"/>
        </a:xfrm>
        <a:prstGeom prst="rect">
          <a:avLst/>
        </a:prstGeom>
        <a:ln>
          <a:solidFill>
            <a:srgbClr val="FF0000"/>
          </a:solidFill>
        </a:ln>
      </xdr:spPr>
    </xdr:pic>
    <xdr:clientData/>
  </xdr:twoCellAnchor>
</xdr:wsDr>
</file>

<file path=xl/drawings/drawing5.xml><?xml version="1.0" encoding="utf-8"?>
<xdr:wsDr xmlns:xdr="http://schemas.openxmlformats.org/drawingml/2006/spreadsheetDrawing" xmlns:a="http://schemas.openxmlformats.org/drawingml/2006/main">
  <xdr:oneCellAnchor>
    <xdr:from>
      <xdr:col>4</xdr:col>
      <xdr:colOff>438150</xdr:colOff>
      <xdr:row>0</xdr:row>
      <xdr:rowOff>82550</xdr:rowOff>
    </xdr:from>
    <xdr:ext cx="8763000" cy="342786"/>
    <xdr:sp macro="" textlink="">
      <xdr:nvSpPr>
        <xdr:cNvPr id="2" name="TextBox 1">
          <a:extLst>
            <a:ext uri="{FF2B5EF4-FFF2-40B4-BE49-F238E27FC236}">
              <a16:creationId xmlns:a16="http://schemas.microsoft.com/office/drawing/2014/main" id="{00000000-0008-0000-0300-000002000000}"/>
            </a:ext>
          </a:extLst>
        </xdr:cNvPr>
        <xdr:cNvSpPr txBox="1"/>
      </xdr:nvSpPr>
      <xdr:spPr>
        <a:xfrm>
          <a:off x="3273238" y="82550"/>
          <a:ext cx="8763000" cy="34278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pPr algn="ctr"/>
          <a:r>
            <a:rPr lang="en-US" sz="1600" b="1">
              <a:latin typeface="+mn-lt"/>
            </a:rPr>
            <a:t>Device Comparison</a:t>
          </a:r>
        </a:p>
      </xdr:txBody>
    </xdr:sp>
    <xdr:clientData/>
  </xdr:oneCellAnchor>
  <xdr:twoCellAnchor editAs="oneCell">
    <xdr:from>
      <xdr:col>0</xdr:col>
      <xdr:colOff>95250</xdr:colOff>
      <xdr:row>0</xdr:row>
      <xdr:rowOff>142875</xdr:rowOff>
    </xdr:from>
    <xdr:to>
      <xdr:col>1</xdr:col>
      <xdr:colOff>838947</xdr:colOff>
      <xdr:row>2</xdr:row>
      <xdr:rowOff>76151</xdr:rowOff>
    </xdr:to>
    <xdr:pic>
      <xdr:nvPicPr>
        <xdr:cNvPr id="5" name="Picture 4" descr="ti logo">
          <a:hlinkClick xmlns:r="http://schemas.openxmlformats.org/officeDocument/2006/relationships" r:id="rId1"/>
          <a:extLst>
            <a:ext uri="{FF2B5EF4-FFF2-40B4-BE49-F238E27FC236}">
              <a16:creationId xmlns:a16="http://schemas.microsoft.com/office/drawing/2014/main" id="{00000000-0008-0000-0300-000005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95250" y="142875"/>
          <a:ext cx="2324100" cy="31427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82</xdr:col>
      <xdr:colOff>864728</xdr:colOff>
      <xdr:row>304</xdr:row>
      <xdr:rowOff>3723593</xdr:rowOff>
    </xdr:from>
    <xdr:to>
      <xdr:col>82</xdr:col>
      <xdr:colOff>7020598</xdr:colOff>
      <xdr:row>305</xdr:row>
      <xdr:rowOff>3715903</xdr:rowOff>
    </xdr:to>
    <xdr:pic>
      <xdr:nvPicPr>
        <xdr:cNvPr id="7" name="Picture 6">
          <a:extLst>
            <a:ext uri="{FF2B5EF4-FFF2-40B4-BE49-F238E27FC236}">
              <a16:creationId xmlns:a16="http://schemas.microsoft.com/office/drawing/2014/main" id="{6D824D27-A911-4C9D-81C6-E53F44A01594}"/>
            </a:ext>
          </a:extLst>
        </xdr:cNvPr>
        <xdr:cNvPicPr>
          <a:picLocks noChangeAspect="1"/>
        </xdr:cNvPicPr>
      </xdr:nvPicPr>
      <xdr:blipFill>
        <a:blip xmlns:r="http://schemas.openxmlformats.org/officeDocument/2006/relationships" r:embed="rId3"/>
        <a:stretch>
          <a:fillRect/>
        </a:stretch>
      </xdr:blipFill>
      <xdr:spPr>
        <a:xfrm>
          <a:off x="64777478" y="66656629"/>
          <a:ext cx="6151108" cy="3720667"/>
        </a:xfrm>
        <a:prstGeom prst="rect">
          <a:avLst/>
        </a:prstGeom>
      </xdr:spPr>
    </xdr:pic>
    <xdr:clientData/>
  </xdr:twoCellAnchor>
  <xdr:twoCellAnchor editAs="oneCell">
    <xdr:from>
      <xdr:col>82</xdr:col>
      <xdr:colOff>0</xdr:colOff>
      <xdr:row>306</xdr:row>
      <xdr:rowOff>0</xdr:rowOff>
    </xdr:from>
    <xdr:to>
      <xdr:col>83</xdr:col>
      <xdr:colOff>11872</xdr:colOff>
      <xdr:row>306</xdr:row>
      <xdr:rowOff>3646714</xdr:rowOff>
    </xdr:to>
    <xdr:pic>
      <xdr:nvPicPr>
        <xdr:cNvPr id="11" name="Picture 10">
          <a:extLst>
            <a:ext uri="{FF2B5EF4-FFF2-40B4-BE49-F238E27FC236}">
              <a16:creationId xmlns:a16="http://schemas.microsoft.com/office/drawing/2014/main" id="{1783FD44-0450-4689-903C-C7B4F9169454}"/>
            </a:ext>
          </a:extLst>
        </xdr:cNvPr>
        <xdr:cNvPicPr>
          <a:picLocks noChangeAspect="1"/>
        </xdr:cNvPicPr>
      </xdr:nvPicPr>
      <xdr:blipFill>
        <a:blip xmlns:r="http://schemas.openxmlformats.org/officeDocument/2006/relationships" r:embed="rId4"/>
        <a:stretch>
          <a:fillRect/>
        </a:stretch>
      </xdr:blipFill>
      <xdr:spPr>
        <a:xfrm>
          <a:off x="63912750" y="70389750"/>
          <a:ext cx="7699908" cy="3646714"/>
        </a:xfrm>
        <a:prstGeom prst="rect">
          <a:avLst/>
        </a:prstGeom>
      </xdr:spPr>
    </xdr:pic>
    <xdr:clientData/>
  </xdr:twoCellAnchor>
  <xdr:twoCellAnchor editAs="oneCell">
    <xdr:from>
      <xdr:col>82</xdr:col>
      <xdr:colOff>9524</xdr:colOff>
      <xdr:row>304</xdr:row>
      <xdr:rowOff>31975</xdr:rowOff>
    </xdr:from>
    <xdr:to>
      <xdr:col>82</xdr:col>
      <xdr:colOff>7620016</xdr:colOff>
      <xdr:row>304</xdr:row>
      <xdr:rowOff>3715428</xdr:rowOff>
    </xdr:to>
    <xdr:pic>
      <xdr:nvPicPr>
        <xdr:cNvPr id="12" name="Picture 11">
          <a:extLst>
            <a:ext uri="{FF2B5EF4-FFF2-40B4-BE49-F238E27FC236}">
              <a16:creationId xmlns:a16="http://schemas.microsoft.com/office/drawing/2014/main" id="{256DD32B-813D-4621-B194-A169FA9A272A}"/>
            </a:ext>
          </a:extLst>
        </xdr:cNvPr>
        <xdr:cNvPicPr>
          <a:picLocks noChangeAspect="1"/>
        </xdr:cNvPicPr>
      </xdr:nvPicPr>
      <xdr:blipFill>
        <a:blip xmlns:r="http://schemas.openxmlformats.org/officeDocument/2006/relationships" r:embed="rId5"/>
        <a:stretch>
          <a:fillRect/>
        </a:stretch>
      </xdr:blipFill>
      <xdr:spPr>
        <a:xfrm>
          <a:off x="63922274" y="62965011"/>
          <a:ext cx="7610492" cy="3678691"/>
        </a:xfrm>
        <a:prstGeom prst="rect">
          <a:avLst/>
        </a:prstGeom>
      </xdr:spPr>
    </xdr:pic>
    <xdr:clientData/>
  </xdr:twoCellAnchor>
  <xdr:twoCellAnchor editAs="oneCell">
    <xdr:from>
      <xdr:col>82</xdr:col>
      <xdr:colOff>9523</xdr:colOff>
      <xdr:row>303</xdr:row>
      <xdr:rowOff>50344</xdr:rowOff>
    </xdr:from>
    <xdr:to>
      <xdr:col>83</xdr:col>
      <xdr:colOff>0</xdr:colOff>
      <xdr:row>303</xdr:row>
      <xdr:rowOff>3686589</xdr:rowOff>
    </xdr:to>
    <xdr:pic>
      <xdr:nvPicPr>
        <xdr:cNvPr id="13" name="Picture 12">
          <a:extLst>
            <a:ext uri="{FF2B5EF4-FFF2-40B4-BE49-F238E27FC236}">
              <a16:creationId xmlns:a16="http://schemas.microsoft.com/office/drawing/2014/main" id="{88F5F492-B872-4480-BA90-D1369C865FC3}"/>
            </a:ext>
          </a:extLst>
        </xdr:cNvPr>
        <xdr:cNvPicPr>
          <a:picLocks noChangeAspect="1"/>
        </xdr:cNvPicPr>
      </xdr:nvPicPr>
      <xdr:blipFill>
        <a:blip xmlns:r="http://schemas.openxmlformats.org/officeDocument/2006/relationships" r:embed="rId6"/>
        <a:stretch>
          <a:fillRect/>
        </a:stretch>
      </xdr:blipFill>
      <xdr:spPr>
        <a:xfrm>
          <a:off x="63922273" y="59255023"/>
          <a:ext cx="7678513" cy="3631483"/>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85725</xdr:colOff>
      <xdr:row>0</xdr:row>
      <xdr:rowOff>152400</xdr:rowOff>
    </xdr:from>
    <xdr:to>
      <xdr:col>4</xdr:col>
      <xdr:colOff>215900</xdr:colOff>
      <xdr:row>2</xdr:row>
      <xdr:rowOff>126951</xdr:rowOff>
    </xdr:to>
    <xdr:pic>
      <xdr:nvPicPr>
        <xdr:cNvPr id="2" name="Picture 1" descr="ti logo">
          <a:hlinkClick xmlns:r="http://schemas.openxmlformats.org/officeDocument/2006/relationships" r:id="rId1"/>
          <a:extLst>
            <a:ext uri="{FF2B5EF4-FFF2-40B4-BE49-F238E27FC236}">
              <a16:creationId xmlns:a16="http://schemas.microsoft.com/office/drawing/2014/main" id="{00000000-0008-0000-0400-000002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85725" y="152400"/>
          <a:ext cx="2373630" cy="29141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oneCellAnchor>
    <xdr:from>
      <xdr:col>6</xdr:col>
      <xdr:colOff>558800</xdr:colOff>
      <xdr:row>0</xdr:row>
      <xdr:rowOff>82550</xdr:rowOff>
    </xdr:from>
    <xdr:ext cx="3752850" cy="342786"/>
    <xdr:sp macro="" textlink="">
      <xdr:nvSpPr>
        <xdr:cNvPr id="3" name="TextBox 2">
          <a:extLst>
            <a:ext uri="{FF2B5EF4-FFF2-40B4-BE49-F238E27FC236}">
              <a16:creationId xmlns:a16="http://schemas.microsoft.com/office/drawing/2014/main" id="{00000000-0008-0000-0400-000003000000}"/>
            </a:ext>
          </a:extLst>
        </xdr:cNvPr>
        <xdr:cNvSpPr txBox="1"/>
      </xdr:nvSpPr>
      <xdr:spPr>
        <a:xfrm>
          <a:off x="4111625" y="82550"/>
          <a:ext cx="3752850" cy="34278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pPr algn="ctr"/>
          <a:r>
            <a:rPr lang="en-US" sz="1600" b="1">
              <a:latin typeface="+mn-lt"/>
            </a:rPr>
            <a:t>How to use this tool...</a:t>
          </a:r>
        </a:p>
      </xdr:txBody>
    </xdr:sp>
    <xdr:clientData/>
  </xdr:oneCellAnchor>
  <xdr:oneCellAnchor>
    <xdr:from>
      <xdr:col>0</xdr:col>
      <xdr:colOff>47625</xdr:colOff>
      <xdr:row>5</xdr:row>
      <xdr:rowOff>76200</xdr:rowOff>
    </xdr:from>
    <xdr:ext cx="184731" cy="264560"/>
    <xdr:sp macro="" textlink="">
      <xdr:nvSpPr>
        <xdr:cNvPr id="4" name="TextBox 3">
          <a:hlinkClick xmlns:r="http://schemas.openxmlformats.org/officeDocument/2006/relationships" r:id="rId3"/>
          <a:extLst>
            <a:ext uri="{FF2B5EF4-FFF2-40B4-BE49-F238E27FC236}">
              <a16:creationId xmlns:a16="http://schemas.microsoft.com/office/drawing/2014/main" id="{00000000-0008-0000-0400-000004000000}"/>
            </a:ext>
          </a:extLst>
        </xdr:cNvPr>
        <xdr:cNvSpPr txBox="1"/>
      </xdr:nvSpPr>
      <xdr:spPr>
        <a:xfrm>
          <a:off x="47625" y="8991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twoCellAnchor>
    <xdr:from>
      <xdr:col>0</xdr:col>
      <xdr:colOff>133350</xdr:colOff>
      <xdr:row>5</xdr:row>
      <xdr:rowOff>161925</xdr:rowOff>
    </xdr:from>
    <xdr:to>
      <xdr:col>17</xdr:col>
      <xdr:colOff>1076324</xdr:colOff>
      <xdr:row>43</xdr:row>
      <xdr:rowOff>171451</xdr:rowOff>
    </xdr:to>
    <xdr:sp macro="" textlink="">
      <xdr:nvSpPr>
        <xdr:cNvPr id="5" name="TextBox 4">
          <a:extLst>
            <a:ext uri="{FF2B5EF4-FFF2-40B4-BE49-F238E27FC236}">
              <a16:creationId xmlns:a16="http://schemas.microsoft.com/office/drawing/2014/main" id="{00000000-0008-0000-0400-000005000000}"/>
            </a:ext>
          </a:extLst>
        </xdr:cNvPr>
        <xdr:cNvSpPr txBox="1"/>
      </xdr:nvSpPr>
      <xdr:spPr>
        <a:xfrm>
          <a:off x="133350" y="984885"/>
          <a:ext cx="11306174" cy="7065646"/>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a:solidFill>
                <a:schemeClr val="dk1"/>
              </a:solidFill>
              <a:effectLst/>
              <a:latin typeface="+mn-lt"/>
              <a:ea typeface="+mn-ea"/>
              <a:cs typeface="+mn-cs"/>
            </a:rPr>
            <a:t>TEXAS INSTRUMENTS TEXT FILE LICENSE</a:t>
          </a:r>
        </a:p>
        <a:p>
          <a:r>
            <a:rPr lang="en-US" sz="1100">
              <a:solidFill>
                <a:schemeClr val="dk1"/>
              </a:solidFill>
              <a:effectLst/>
              <a:latin typeface="+mn-lt"/>
              <a:ea typeface="+mn-ea"/>
              <a:cs typeface="+mn-cs"/>
            </a:rPr>
            <a:t> </a:t>
          </a:r>
        </a:p>
        <a:p>
          <a:r>
            <a:rPr lang="en-US" sz="1100">
              <a:solidFill>
                <a:schemeClr val="dk1"/>
              </a:solidFill>
              <a:effectLst/>
              <a:latin typeface="+mn-lt"/>
              <a:ea typeface="+mn-ea"/>
              <a:cs typeface="+mn-cs"/>
            </a:rPr>
            <a:t> </a:t>
          </a:r>
        </a:p>
        <a:p>
          <a:r>
            <a:rPr lang="en-US" sz="1100">
              <a:solidFill>
                <a:schemeClr val="dk1"/>
              </a:solidFill>
              <a:effectLst/>
              <a:latin typeface="+mn-lt"/>
              <a:ea typeface="+mn-ea"/>
              <a:cs typeface="+mn-cs"/>
            </a:rPr>
            <a:t>Copyright (c) 2021 Texas Instruments Incorporated</a:t>
          </a:r>
        </a:p>
        <a:p>
          <a:r>
            <a:rPr lang="en-US" sz="1100">
              <a:solidFill>
                <a:schemeClr val="dk1"/>
              </a:solidFill>
              <a:effectLst/>
              <a:latin typeface="+mn-lt"/>
              <a:ea typeface="+mn-ea"/>
              <a:cs typeface="+mn-cs"/>
            </a:rPr>
            <a:t> </a:t>
          </a:r>
        </a:p>
        <a:p>
          <a:r>
            <a:rPr lang="en-US" sz="1100">
              <a:solidFill>
                <a:schemeClr val="dk1"/>
              </a:solidFill>
              <a:effectLst/>
              <a:latin typeface="+mn-lt"/>
              <a:ea typeface="+mn-ea"/>
              <a:cs typeface="+mn-cs"/>
            </a:rPr>
            <a:t>All rights reserved not granted herein.</a:t>
          </a:r>
        </a:p>
        <a:p>
          <a:r>
            <a:rPr lang="en-US" sz="1100">
              <a:solidFill>
                <a:schemeClr val="dk1"/>
              </a:solidFill>
              <a:effectLst/>
              <a:latin typeface="+mn-lt"/>
              <a:ea typeface="+mn-ea"/>
              <a:cs typeface="+mn-cs"/>
            </a:rPr>
            <a:t> </a:t>
          </a:r>
        </a:p>
        <a:p>
          <a:r>
            <a:rPr lang="en-US" sz="1100">
              <a:solidFill>
                <a:schemeClr val="dk1"/>
              </a:solidFill>
              <a:effectLst/>
              <a:latin typeface="+mn-lt"/>
              <a:ea typeface="+mn-ea"/>
              <a:cs typeface="+mn-cs"/>
            </a:rPr>
            <a:t>Limited License.  </a:t>
          </a:r>
        </a:p>
        <a:p>
          <a:r>
            <a:rPr lang="en-US" sz="1100">
              <a:solidFill>
                <a:schemeClr val="dk1"/>
              </a:solidFill>
              <a:effectLst/>
              <a:latin typeface="+mn-lt"/>
              <a:ea typeface="+mn-ea"/>
              <a:cs typeface="+mn-cs"/>
            </a:rPr>
            <a:t> </a:t>
          </a:r>
        </a:p>
        <a:p>
          <a:r>
            <a:rPr lang="en-US" sz="1100">
              <a:solidFill>
                <a:schemeClr val="dk1"/>
              </a:solidFill>
              <a:effectLst/>
              <a:latin typeface="+mn-lt"/>
              <a:ea typeface="+mn-ea"/>
              <a:cs typeface="+mn-cs"/>
            </a:rPr>
            <a:t>Texas Instruments Incorporated grants a world-wide, royalty-free, non-exclusive license under copyrights and patents it now or hereafter owns or controls to make, have made, use, import, offer to sell and sell ("Utilize") this software subject to the terms herein.  With respect to the foregoing patent license, such license is granted  solely to the extent that any such patent is necessary to Utilize the software alone.  The patent license shall not apply to any combinations which include this software, other than combinations with devices manufactured by or for TI (“TI Devices”).  No hardware patent is licensed hereunder.</a:t>
          </a:r>
        </a:p>
        <a:p>
          <a:r>
            <a:rPr lang="en-US" sz="1100">
              <a:solidFill>
                <a:schemeClr val="dk1"/>
              </a:solidFill>
              <a:effectLst/>
              <a:latin typeface="+mn-lt"/>
              <a:ea typeface="+mn-ea"/>
              <a:cs typeface="+mn-cs"/>
            </a:rPr>
            <a:t> </a:t>
          </a:r>
        </a:p>
        <a:p>
          <a:r>
            <a:rPr lang="en-US" sz="1100">
              <a:solidFill>
                <a:schemeClr val="dk1"/>
              </a:solidFill>
              <a:effectLst/>
              <a:latin typeface="+mn-lt"/>
              <a:ea typeface="+mn-ea"/>
              <a:cs typeface="+mn-cs"/>
            </a:rPr>
            <a:t>Redistributions must preserve existing copyright notices and reproduce this license (including the above copyright notice and the disclaimer and (if applicable) source code license limitations below) in the documentation and/or other materials provided with the distribution</a:t>
          </a:r>
        </a:p>
        <a:p>
          <a:r>
            <a:rPr lang="en-US" sz="1100">
              <a:solidFill>
                <a:schemeClr val="dk1"/>
              </a:solidFill>
              <a:effectLst/>
              <a:latin typeface="+mn-lt"/>
              <a:ea typeface="+mn-ea"/>
              <a:cs typeface="+mn-cs"/>
            </a:rPr>
            <a:t> </a:t>
          </a:r>
        </a:p>
        <a:p>
          <a:r>
            <a:rPr lang="en-US" sz="1100">
              <a:solidFill>
                <a:schemeClr val="dk1"/>
              </a:solidFill>
              <a:effectLst/>
              <a:latin typeface="+mn-lt"/>
              <a:ea typeface="+mn-ea"/>
              <a:cs typeface="+mn-cs"/>
            </a:rPr>
            <a:t>Redistribution and use in binary form, without modification, are permitted provided that the following conditions are met:</a:t>
          </a:r>
        </a:p>
        <a:p>
          <a:r>
            <a:rPr lang="en-US" sz="1100">
              <a:solidFill>
                <a:schemeClr val="dk1"/>
              </a:solidFill>
              <a:effectLst/>
              <a:latin typeface="+mn-lt"/>
              <a:ea typeface="+mn-ea"/>
              <a:cs typeface="+mn-cs"/>
            </a:rPr>
            <a:t> </a:t>
          </a:r>
        </a:p>
        <a:p>
          <a:r>
            <a:rPr lang="en-US" sz="1100">
              <a:solidFill>
                <a:schemeClr val="dk1"/>
              </a:solidFill>
              <a:effectLst/>
              <a:latin typeface="+mn-lt"/>
              <a:ea typeface="+mn-ea"/>
              <a:cs typeface="+mn-cs"/>
            </a:rPr>
            <a:t>*	No reverse engineering, decompilation, or disassembly of this software is permitted with respect to any software provided in binary form.</a:t>
          </a:r>
        </a:p>
        <a:p>
          <a:r>
            <a:rPr lang="en-US" sz="1100">
              <a:solidFill>
                <a:schemeClr val="dk1"/>
              </a:solidFill>
              <a:effectLst/>
              <a:latin typeface="+mn-lt"/>
              <a:ea typeface="+mn-ea"/>
              <a:cs typeface="+mn-cs"/>
            </a:rPr>
            <a:t> </a:t>
          </a:r>
        </a:p>
        <a:p>
          <a:r>
            <a:rPr lang="en-US" sz="1100">
              <a:solidFill>
                <a:schemeClr val="dk1"/>
              </a:solidFill>
              <a:effectLst/>
              <a:latin typeface="+mn-lt"/>
              <a:ea typeface="+mn-ea"/>
              <a:cs typeface="+mn-cs"/>
            </a:rPr>
            <a:t>*	any redistribution and use are licensed by TI for use only with TI Devices.</a:t>
          </a:r>
        </a:p>
        <a:p>
          <a:r>
            <a:rPr lang="en-US" sz="1100">
              <a:solidFill>
                <a:schemeClr val="dk1"/>
              </a:solidFill>
              <a:effectLst/>
              <a:latin typeface="+mn-lt"/>
              <a:ea typeface="+mn-ea"/>
              <a:cs typeface="+mn-cs"/>
            </a:rPr>
            <a:t> </a:t>
          </a:r>
        </a:p>
        <a:p>
          <a:r>
            <a:rPr lang="en-US" sz="1100">
              <a:solidFill>
                <a:schemeClr val="dk1"/>
              </a:solidFill>
              <a:effectLst/>
              <a:latin typeface="+mn-lt"/>
              <a:ea typeface="+mn-ea"/>
              <a:cs typeface="+mn-cs"/>
            </a:rPr>
            <a:t>*	Nothing shall obligate TI to provide you with source code for the software licensed and provided to you in object code.</a:t>
          </a:r>
        </a:p>
        <a:p>
          <a:r>
            <a:rPr lang="en-US" sz="1100">
              <a:solidFill>
                <a:schemeClr val="dk1"/>
              </a:solidFill>
              <a:effectLst/>
              <a:latin typeface="+mn-lt"/>
              <a:ea typeface="+mn-ea"/>
              <a:cs typeface="+mn-cs"/>
            </a:rPr>
            <a:t> </a:t>
          </a:r>
        </a:p>
        <a:p>
          <a:r>
            <a:rPr lang="en-US" sz="1100">
              <a:solidFill>
                <a:schemeClr val="dk1"/>
              </a:solidFill>
              <a:effectLst/>
              <a:latin typeface="+mn-lt"/>
              <a:ea typeface="+mn-ea"/>
              <a:cs typeface="+mn-cs"/>
            </a:rPr>
            <a:t>If software source code is provided to you, modification and redistribution of the source code are permitted provided that the following conditions are met:</a:t>
          </a:r>
        </a:p>
        <a:p>
          <a:r>
            <a:rPr lang="en-US" sz="1100">
              <a:solidFill>
                <a:schemeClr val="dk1"/>
              </a:solidFill>
              <a:effectLst/>
              <a:latin typeface="+mn-lt"/>
              <a:ea typeface="+mn-ea"/>
              <a:cs typeface="+mn-cs"/>
            </a:rPr>
            <a:t> </a:t>
          </a:r>
        </a:p>
        <a:p>
          <a:r>
            <a:rPr lang="en-US" sz="1100">
              <a:solidFill>
                <a:schemeClr val="dk1"/>
              </a:solidFill>
              <a:effectLst/>
              <a:latin typeface="+mn-lt"/>
              <a:ea typeface="+mn-ea"/>
              <a:cs typeface="+mn-cs"/>
            </a:rPr>
            <a:t>*	any redistribution and use of the source code, including any resulting derivative works, are licensed by TI for use only with TI Devices.</a:t>
          </a:r>
        </a:p>
        <a:p>
          <a:r>
            <a:rPr lang="en-US" sz="1100">
              <a:solidFill>
                <a:schemeClr val="dk1"/>
              </a:solidFill>
              <a:effectLst/>
              <a:latin typeface="+mn-lt"/>
              <a:ea typeface="+mn-ea"/>
              <a:cs typeface="+mn-cs"/>
            </a:rPr>
            <a:t> </a:t>
          </a:r>
        </a:p>
        <a:p>
          <a:r>
            <a:rPr lang="en-US" sz="1100">
              <a:solidFill>
                <a:schemeClr val="dk1"/>
              </a:solidFill>
              <a:effectLst/>
              <a:latin typeface="+mn-lt"/>
              <a:ea typeface="+mn-ea"/>
              <a:cs typeface="+mn-cs"/>
            </a:rPr>
            <a:t>*	any redistribution and use of any object code compiled from the source code and any resulting derivative works, are licensed by TI for use only with TI Devices.</a:t>
          </a:r>
        </a:p>
        <a:p>
          <a:r>
            <a:rPr lang="en-US" sz="1100">
              <a:solidFill>
                <a:schemeClr val="dk1"/>
              </a:solidFill>
              <a:effectLst/>
              <a:latin typeface="+mn-lt"/>
              <a:ea typeface="+mn-ea"/>
              <a:cs typeface="+mn-cs"/>
            </a:rPr>
            <a:t> </a:t>
          </a:r>
        </a:p>
        <a:p>
          <a:r>
            <a:rPr lang="en-US" sz="1100">
              <a:solidFill>
                <a:schemeClr val="dk1"/>
              </a:solidFill>
              <a:effectLst/>
              <a:latin typeface="+mn-lt"/>
              <a:ea typeface="+mn-ea"/>
              <a:cs typeface="+mn-cs"/>
            </a:rPr>
            <a:t>Neither the name of Texas Instruments Incorporated nor the names of its suppliers may be used to endorse or promote products derived from this software without specific prior written permission.</a:t>
          </a:r>
        </a:p>
        <a:p>
          <a:r>
            <a:rPr lang="en-US" sz="1100">
              <a:solidFill>
                <a:schemeClr val="dk1"/>
              </a:solidFill>
              <a:effectLst/>
              <a:latin typeface="+mn-lt"/>
              <a:ea typeface="+mn-ea"/>
              <a:cs typeface="+mn-cs"/>
            </a:rPr>
            <a:t> </a:t>
          </a:r>
        </a:p>
        <a:p>
          <a:r>
            <a:rPr lang="en-US" sz="1100">
              <a:solidFill>
                <a:schemeClr val="dk1"/>
              </a:solidFill>
              <a:effectLst/>
              <a:latin typeface="+mn-lt"/>
              <a:ea typeface="+mn-ea"/>
              <a:cs typeface="+mn-cs"/>
            </a:rPr>
            <a:t>DISCLAIMER.</a:t>
          </a:r>
        </a:p>
        <a:p>
          <a:r>
            <a:rPr lang="en-US" sz="1100">
              <a:solidFill>
                <a:schemeClr val="dk1"/>
              </a:solidFill>
              <a:effectLst/>
              <a:latin typeface="+mn-lt"/>
              <a:ea typeface="+mn-ea"/>
              <a:cs typeface="+mn-cs"/>
            </a:rPr>
            <a:t> </a:t>
          </a:r>
        </a:p>
        <a:p>
          <a:r>
            <a:rPr lang="en-US" sz="1100">
              <a:solidFill>
                <a:schemeClr val="dk1"/>
              </a:solidFill>
              <a:effectLst/>
              <a:latin typeface="+mn-lt"/>
              <a:ea typeface="+mn-ea"/>
              <a:cs typeface="+mn-cs"/>
            </a:rPr>
            <a:t>THIS SOFTWARE IS PROVIDED BY TI AND TI’S LICENSORS "AS IS" AND ANY EXPRESS OR IMPLIED WARRANTIES, INCLUDING, BUT NOT LIMITED TO, THE IMPLIED WARRANTIES OF MERCHANTABILITY AND FITNESS FOR A PARTICULAR PURPOSE ARE DISCLAIMED. IN NO EVENT SHALL TI AND TI’S LICENSORS BE LIABLE FOR ANY DIRECT, INDIRECT, INCIDENTAL, SPECIAL, EXEMPLARY, OR CONSEQUENTIAL DAMAGES (INCLUDING, BUT NOT LIMITED TO, PROCUREMENT OF SUBSTITUTE GOODS OR SERVICES; LOSS OF USE, DATA, OR PROFITS; OR BUSINESS INTERRUPTION) HOWEVER CAUSED AND ON ANY THEORY OF LIABILITY, WHETHER IN CONTRACT, STRICT LIABILITY, OR TORT (INCLUDING NEGLIGENCE OR OTHERWISE) ARISING IN ANY WAY OUT OF THE USE OF THIS SOFTWARE, EVEN IF ADVISED OF THE POSSIBILITY OF SUCH DAMAGE.</a:t>
          </a:r>
        </a:p>
        <a:p>
          <a:endParaRPr 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Users/a0227282/Desktop/Excel%20Calcs/AMC%20Voltage%20Sensing%20CalculatorV2/AMC%20Voltage%20Sensing%20Calculator/DeltaSigmaModulatorCalculator/DeltaSigmaModulatorFilterCalculator.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Users/a0221409/Desktop/ADS1261-60%20Design%20Calculator.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Users/a0227282/AppData/Local/Microsoft/Windows/INetCache/Content.Outlook/F78ED5SB/ADS1261-60%20Design%20Calculator.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alculator"/>
      <sheetName val="Help"/>
      <sheetName val="License"/>
    </sheetNames>
    <sheetDataSet>
      <sheetData sheetId="0">
        <row r="8">
          <cell r="D8">
            <v>20000</v>
          </cell>
        </row>
        <row r="9">
          <cell r="D9">
            <v>256</v>
          </cell>
        </row>
        <row r="11">
          <cell r="D11">
            <v>32</v>
          </cell>
        </row>
        <row r="81">
          <cell r="R81">
            <v>1</v>
          </cell>
        </row>
        <row r="82">
          <cell r="R82">
            <v>256</v>
          </cell>
          <cell r="U82">
            <v>32</v>
          </cell>
        </row>
        <row r="83">
          <cell r="R83">
            <v>1</v>
          </cell>
        </row>
        <row r="91">
          <cell r="R91">
            <v>256</v>
          </cell>
          <cell r="U91">
            <v>32</v>
          </cell>
        </row>
        <row r="92">
          <cell r="R92" t="b">
            <v>1</v>
          </cell>
        </row>
        <row r="93">
          <cell r="R93">
            <v>65536</v>
          </cell>
          <cell r="U93">
            <v>1024</v>
          </cell>
        </row>
        <row r="94">
          <cell r="R94">
            <v>16777216</v>
          </cell>
          <cell r="U94">
            <v>32768</v>
          </cell>
        </row>
        <row r="101">
          <cell r="Q101">
            <v>20000000</v>
          </cell>
          <cell r="T101">
            <v>78125</v>
          </cell>
          <cell r="BK101">
            <v>625000</v>
          </cell>
        </row>
      </sheetData>
      <sheetData sheetId="1"/>
      <sheetData sheetId="2"/>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able of Contents "/>
      <sheetName val="Common-Mode Range"/>
      <sheetName val="Code Conversions"/>
      <sheetName val="Digital Filter"/>
      <sheetName val="STATUS"/>
      <sheetName val="CRC"/>
      <sheetName val="About"/>
      <sheetName val="Help"/>
    </sheetNames>
    <sheetDataSet>
      <sheetData sheetId="0"/>
      <sheetData sheetId="1"/>
      <sheetData sheetId="2"/>
      <sheetData sheetId="3">
        <row r="84">
          <cell r="T84" t="b">
            <v>0</v>
          </cell>
        </row>
      </sheetData>
      <sheetData sheetId="4"/>
      <sheetData sheetId="5"/>
      <sheetData sheetId="6"/>
      <sheetData sheetId="7"/>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able of Contents "/>
      <sheetName val="Common-Mode Range"/>
      <sheetName val="Code Conversions"/>
      <sheetName val="Digital Filter"/>
      <sheetName val="STATUS"/>
      <sheetName val="CRC"/>
      <sheetName val="About"/>
      <sheetName val="Help"/>
    </sheetNames>
    <sheetDataSet>
      <sheetData sheetId="0" refreshError="1"/>
      <sheetData sheetId="1" refreshError="1"/>
      <sheetData sheetId="2" refreshError="1"/>
      <sheetData sheetId="3">
        <row r="84">
          <cell r="T84" t="b">
            <v>0</v>
          </cell>
        </row>
      </sheetData>
      <sheetData sheetId="4" refreshError="1"/>
      <sheetData sheetId="5" refreshError="1"/>
      <sheetData sheetId="6" refreshError="1"/>
      <sheetData sheetId="7" refreshError="1"/>
    </sheetDataSet>
  </externalBook>
</externalLink>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0000000-000C-0000-FFFF-FFFF00000000}" name="Table3" displayName="Table3" ref="BS6:CB111" totalsRowShown="0" headerRowDxfId="95" dataDxfId="94" tableBorderDxfId="93">
  <autoFilter ref="BS6:CB111" xr:uid="{00000000-0009-0000-0100-000003000000}"/>
  <sortState ref="BS7:BS127">
    <sortCondition ref="BS1:BS122"/>
  </sortState>
  <tableColumns count="10">
    <tableColumn id="1" xr3:uid="{00000000-0010-0000-0000-000001000000}" name="R" dataDxfId="92"/>
    <tableColumn id="2" xr3:uid="{00000000-0010-0000-0000-000002000000}" name="R2" dataDxfId="91">
      <calculatedColumnFormula>Table3[[#This Row],[R]]*10</calculatedColumnFormula>
    </tableColumn>
    <tableColumn id="3" xr3:uid="{00000000-0010-0000-0000-000003000000}" name="R3" dataDxfId="90">
      <calculatedColumnFormula>Table3[[#This Row],[R2]]*10</calculatedColumnFormula>
    </tableColumn>
    <tableColumn id="4" xr3:uid="{00000000-0010-0000-0000-000004000000}" name="R4" dataDxfId="89">
      <calculatedColumnFormula>Table3[[#This Row],[R3]]*10</calculatedColumnFormula>
    </tableColumn>
    <tableColumn id="5" xr3:uid="{00000000-0010-0000-0000-000005000000}" name="R5" dataDxfId="88">
      <calculatedColumnFormula>Table3[[#This Row],[R]]/10</calculatedColumnFormula>
    </tableColumn>
    <tableColumn id="6" xr3:uid="{00000000-0010-0000-0000-000006000000}" name="R6" dataDxfId="87">
      <calculatedColumnFormula>Table3[[#This Row],[R5]]/10</calculatedColumnFormula>
    </tableColumn>
    <tableColumn id="7" xr3:uid="{00000000-0010-0000-0000-000007000000}" name="R7" dataDxfId="86">
      <calculatedColumnFormula>Table3[[#This Row],[R6]]/10</calculatedColumnFormula>
    </tableColumn>
    <tableColumn id="8" xr3:uid="{00000000-0010-0000-0000-000008000000}" name="R8" dataDxfId="85">
      <calculatedColumnFormula>Table3[[#This Row],[R7]]/10</calculatedColumnFormula>
    </tableColumn>
    <tableColumn id="9" xr3:uid="{00000000-0010-0000-0000-000009000000}" name="R9" dataDxfId="84">
      <calculatedColumnFormula>Table3[[#This Row],[R8]]/10</calculatedColumnFormula>
    </tableColumn>
    <tableColumn id="10" xr3:uid="{00000000-0010-0000-0000-00000A000000}" name="R10" dataDxfId="83">
      <calculatedColumnFormula>Table3[[#This Row],[R9]]/10</calculatedColumnFormula>
    </tableColumn>
  </tableColumns>
  <tableStyleInfo name="TableStyleLight1"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1000000}" name="Devices" displayName="Devices" ref="A6:AK133" totalsRowShown="0" headerRowDxfId="82" dataDxfId="80" headerRowBorderDxfId="81" tableBorderDxfId="79">
  <tableColumns count="37">
    <tableColumn id="1" xr3:uid="{00000000-0010-0000-0100-000001000000}" name="Part" dataDxfId="78"/>
    <tableColumn id="15" xr3:uid="{00000000-0010-0000-0100-00000F000000}" name="Input Type" dataDxfId="77"/>
    <tableColumn id="33" xr3:uid="{A19EFE3C-741A-46B2-8ECA-EC088F01287A}" name="Output Type" dataDxfId="76"/>
    <tableColumn id="2" xr3:uid="{00000000-0010-0000-0100-000002000000}" name="Gain Error Typ" dataDxfId="75"/>
    <tableColumn id="3" xr3:uid="{00000000-0010-0000-0100-000003000000}" name="Gain Error Max" dataDxfId="74"/>
    <tableColumn id="4" xr3:uid="{00000000-0010-0000-0100-000004000000}" name="Gain Drift Typ" dataDxfId="73"/>
    <tableColumn id="5" xr3:uid="{00000000-0010-0000-0100-000005000000}" name="Gain Drift Max" dataDxfId="72"/>
    <tableColumn id="6" xr3:uid="{00000000-0010-0000-0100-000006000000}" name="Offset Error Typ" dataDxfId="71"/>
    <tableColumn id="7" xr3:uid="{00000000-0010-0000-0100-000007000000}" name="Offset Error Max" dataDxfId="70"/>
    <tableColumn id="8" xr3:uid="{00000000-0010-0000-0100-000008000000}" name="Offset Drift Typ" dataDxfId="69"/>
    <tableColumn id="9" xr3:uid="{00000000-0010-0000-0100-000009000000}" name="Offset Drift Max" dataDxfId="68"/>
    <tableColumn id="10" xr3:uid="{00000000-0010-0000-0100-00000A000000}" name="INL Typ" dataDxfId="67"/>
    <tableColumn id="11" xr3:uid="{00000000-0010-0000-0100-00000B000000}" name="INL Max" dataDxfId="66"/>
    <tableColumn id="12" xr3:uid="{00000000-0010-0000-0100-00000C000000}" name="INL Drift Typ" dataDxfId="65"/>
    <tableColumn id="13" xr3:uid="{00000000-0010-0000-0100-00000D000000}" name="INL Drift Max" dataDxfId="64"/>
    <tableColumn id="14" xr3:uid="{00000000-0010-0000-0100-00000E000000}" name="±Input Voltage Range" dataDxfId="63"/>
    <tableColumn id="34" xr3:uid="{848B6CD0-B63F-4FAE-8F53-D61506F4C1C7}" name="±Output Voltage Range" dataDxfId="62"/>
    <tableColumn id="29" xr3:uid="{00000000-0010-0000-0100-00001D000000}" name="Temp Min" dataDxfId="61"/>
    <tableColumn id="30" xr3:uid="{00000000-0010-0000-0100-00001E000000}" name="Temp Max" dataDxfId="60"/>
    <tableColumn id="18" xr3:uid="{00000000-0010-0000-0100-000012000000}" name="Input Resistor (R4)" dataDxfId="59"/>
    <tableColumn id="16" xr3:uid="{00000000-0010-0000-0100-000010000000}" name="Single-Ended Input Resistance" dataDxfId="58"/>
    <tableColumn id="31" xr3:uid="{00000000-0010-0000-0100-00001F000000}" name="Differential Input Resistance" dataDxfId="57"/>
    <tableColumn id="32" xr3:uid="{00000000-0010-0000-0100-000020000000}" name="Gain" dataDxfId="56"/>
    <tableColumn id="17" xr3:uid="{00000000-0010-0000-0100-000011000000}" name="Bias Current" dataDxfId="55"/>
    <tableColumn id="19" xr3:uid="{00000000-0010-0000-0100-000013000000}" name="Row Num" dataDxfId="54">
      <calculatedColumnFormula>ROW()-6</calculatedColumnFormula>
    </tableColumn>
    <tableColumn id="20" xr3:uid="{00000000-0010-0000-0100-000014000000}" name="Row Sel D" dataDxfId="53">
      <calculatedColumnFormula>IF(OR($AN$18=Devices[[#This Row],[Input Type]], 0=Devices[[#This Row],[Input Type]]),Devices[[#This Row],[Row Num]], " ")</calculatedColumnFormula>
    </tableColumn>
    <tableColumn id="37" xr3:uid="{EDC00B14-39B1-4C08-AD20-41106F04D699}" name="Row Sel IntRdiv" dataDxfId="52">
      <calculatedColumnFormula>IF(OR($AN$19=Devices[[#This Row],[Input Type]], 0=Devices[[#This Row],[Input Type]]),Devices[[#This Row],[Row Num]], " ")</calculatedColumnFormula>
    </tableColumn>
    <tableColumn id="21" xr3:uid="{00000000-0010-0000-0100-000015000000}" name="Row Sel SE" dataDxfId="51">
      <calculatedColumnFormula>IF(OR($AN$20=Devices[[#This Row],[Input Type]], 0=Devices[[#This Row],[Input Type]]),Devices[[#This Row],[Row Num]], " ")</calculatedColumnFormula>
    </tableColumn>
    <tableColumn id="22" xr3:uid="{00000000-0010-0000-0100-000016000000}" name="Row Sel N" dataDxfId="50">
      <calculatedColumnFormula>IF(0=Devices[[#This Row],[Input Type]], Devices[[#This Row],[Row Num]], " ")</calculatedColumnFormula>
    </tableColumn>
    <tableColumn id="23" xr3:uid="{00000000-0010-0000-0100-000017000000}" name="Sel D" dataDxfId="49">
      <calculatedColumnFormula>IFERROR(SMALL(Devices[Row Sel D], Devices[[#This Row],[Row Num]]), " ")</calculatedColumnFormula>
    </tableColumn>
    <tableColumn id="36" xr3:uid="{B3804BE4-A7D2-419A-82CF-E79DD68FCFFA}" name="Sel IntRdiv" dataDxfId="48">
      <calculatedColumnFormula>IFERROR(SMALL(Devices[Row Sel IntRdiv], Devices[[#This Row],[Row Num]]), " ")</calculatedColumnFormula>
    </tableColumn>
    <tableColumn id="24" xr3:uid="{00000000-0010-0000-0100-000018000000}" name="Sel SE" dataDxfId="47">
      <calculatedColumnFormula>IFERROR(SMALL(Devices[Row Sel SE], Devices[[#This Row],[Row Num]]), " ")</calculatedColumnFormula>
    </tableColumn>
    <tableColumn id="25" xr3:uid="{00000000-0010-0000-0100-000019000000}" name="Sel N" dataDxfId="46">
      <calculatedColumnFormula>IFERROR(SMALL(Devices[Row Sel N], Devices[[#This Row],[Row Num]]), " ")</calculatedColumnFormula>
    </tableColumn>
    <tableColumn id="26" xr3:uid="{00000000-0010-0000-0100-00001A000000}" name="Device_List_D" dataDxfId="45">
      <calculatedColumnFormula>IFERROR(INDEX(Devices[Part], Devices[[#This Row],[Sel D]], 1), "")</calculatedColumnFormula>
    </tableColumn>
    <tableColumn id="35" xr3:uid="{124104F3-2166-4F6B-83B9-A1EAA47ED0A0}" name="Device_List_IntRdiv" dataDxfId="44">
      <calculatedColumnFormula>IFERROR(INDEX(Devices[Part], Devices[[#This Row],[Sel IntRdiv]], 1), "")</calculatedColumnFormula>
    </tableColumn>
    <tableColumn id="27" xr3:uid="{00000000-0010-0000-0100-00001B000000}" name="Device_List_SE" dataDxfId="43">
      <calculatedColumnFormula>IFERROR(INDEX(Devices[Part], Devices[[#This Row],[Sel SE]], 1), "")</calculatedColumnFormula>
    </tableColumn>
    <tableColumn id="28" xr3:uid="{00000000-0010-0000-0100-00001C000000}" name="Device_List_N" dataDxfId="42">
      <calculatedColumnFormula>IFERROR(INDEX(Devices[Part], Devices[[#This Row],[Sel N]], 1), "")</calculatedColumnFormula>
    </tableColumn>
  </tableColumns>
  <tableStyleInfo name="TableStyleMedium2"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2000000}" name="Config" displayName="Config" ref="CD302:CE307" totalsRowShown="0" headerRowDxfId="41" dataDxfId="40">
  <tableColumns count="2">
    <tableColumn id="1" xr3:uid="{00000000-0010-0000-0200-000001000000}" name="Configuration" dataDxfId="39"/>
    <tableColumn id="2" xr3:uid="{00000000-0010-0000-0200-000002000000}" name="Image" dataDxfId="38"/>
  </tableColumns>
  <tableStyleInfo name="TableStyleMedium2" showFirstColumn="0" showLastColumn="0" showRowStripes="0"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00000000-000C-0000-FFFF-FFFF03000000}" name="Inputs" displayName="Inputs" ref="AN16:AN20" totalsRowShown="0" headerRowDxfId="37" dataDxfId="36">
  <tableColumns count="1">
    <tableColumn id="1" xr3:uid="{00000000-0010-0000-0300-000001000000}" name="Input Type" dataDxfId="35"/>
  </tableColumns>
  <tableStyleInfo name="TableStyleMedium2"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8" Type="http://schemas.openxmlformats.org/officeDocument/2006/relationships/hyperlink" Target="http://www.ti.com/lit/gpn/AMC1311-Q1" TargetMode="External"/><Relationship Id="rId13" Type="http://schemas.openxmlformats.org/officeDocument/2006/relationships/hyperlink" Target="http://www.ti.com/lit/gpn/AMC3302" TargetMode="External"/><Relationship Id="rId18" Type="http://schemas.openxmlformats.org/officeDocument/2006/relationships/hyperlink" Target="http://www.ti.com/lit/gpn/AMC1350" TargetMode="External"/><Relationship Id="rId26" Type="http://schemas.openxmlformats.org/officeDocument/2006/relationships/hyperlink" Target="http://www.ti.com/lit/gpn/AMC0311R-Q1" TargetMode="External"/><Relationship Id="rId3" Type="http://schemas.openxmlformats.org/officeDocument/2006/relationships/hyperlink" Target="http://www.ti.com/lit/gpn/AMC1300" TargetMode="External"/><Relationship Id="rId21" Type="http://schemas.openxmlformats.org/officeDocument/2006/relationships/hyperlink" Target="http://www.ti.com/lit/gpn/AMC1211-q1" TargetMode="External"/><Relationship Id="rId7" Type="http://schemas.openxmlformats.org/officeDocument/2006/relationships/hyperlink" Target="http://www.ti.com/lit/gpn/AMC1311" TargetMode="External"/><Relationship Id="rId12" Type="http://schemas.openxmlformats.org/officeDocument/2006/relationships/hyperlink" Target="http://www.ti.com/lit/gpn/AMC3330-Q1" TargetMode="External"/><Relationship Id="rId17" Type="http://schemas.openxmlformats.org/officeDocument/2006/relationships/hyperlink" Target="http://www.ti.com/lit/gpn/AMC1202" TargetMode="External"/><Relationship Id="rId25" Type="http://schemas.openxmlformats.org/officeDocument/2006/relationships/hyperlink" Target="http://www.ti.com/lit/gpn/AMC0311R-Q1" TargetMode="External"/><Relationship Id="rId2" Type="http://schemas.openxmlformats.org/officeDocument/2006/relationships/hyperlink" Target="http://www.ti.com/lit/gpn/AMC1300B-Q1" TargetMode="External"/><Relationship Id="rId16" Type="http://schemas.openxmlformats.org/officeDocument/2006/relationships/hyperlink" Target="http://www.ti.com/lit/gpn/AMC3302-Q1" TargetMode="External"/><Relationship Id="rId20" Type="http://schemas.openxmlformats.org/officeDocument/2006/relationships/hyperlink" Target="http://www.ti.com/lit/gpn/ISO224" TargetMode="External"/><Relationship Id="rId29" Type="http://schemas.openxmlformats.org/officeDocument/2006/relationships/printerSettings" Target="../printerSettings/printerSettings2.bin"/><Relationship Id="rId1" Type="http://schemas.openxmlformats.org/officeDocument/2006/relationships/hyperlink" Target="http://e2e.ti.com/support/data_converters/precision_data_converters/" TargetMode="External"/><Relationship Id="rId6" Type="http://schemas.openxmlformats.org/officeDocument/2006/relationships/hyperlink" Target="http://www.ti.com/lit/gpn/AMC1302-Q1" TargetMode="External"/><Relationship Id="rId11" Type="http://schemas.openxmlformats.org/officeDocument/2006/relationships/hyperlink" Target="http://www.ti.com/lit/gpn/AMC3330" TargetMode="External"/><Relationship Id="rId24" Type="http://schemas.openxmlformats.org/officeDocument/2006/relationships/hyperlink" Target="http://www.ti.com/lit/gpn/AMC0311D-Q1" TargetMode="External"/><Relationship Id="rId5" Type="http://schemas.openxmlformats.org/officeDocument/2006/relationships/hyperlink" Target="http://www.ti.com/lit/gpn/AMC1302" TargetMode="External"/><Relationship Id="rId15" Type="http://schemas.openxmlformats.org/officeDocument/2006/relationships/hyperlink" Target="http://www.ti.com/lit/gpn/AMC1411" TargetMode="External"/><Relationship Id="rId23" Type="http://schemas.openxmlformats.org/officeDocument/2006/relationships/hyperlink" Target="http://www.ti.com/lit/gpn/AMC0311D" TargetMode="External"/><Relationship Id="rId28" Type="http://schemas.openxmlformats.org/officeDocument/2006/relationships/hyperlink" Target="http://www.ti.com/lit/gpn/AMC0311S-Q1" TargetMode="External"/><Relationship Id="rId10" Type="http://schemas.openxmlformats.org/officeDocument/2006/relationships/hyperlink" Target="http://www.ti.com/lit/gpn/AMC3301-Q1" TargetMode="External"/><Relationship Id="rId19" Type="http://schemas.openxmlformats.org/officeDocument/2006/relationships/hyperlink" Target="http://www.ti.com/lit/gpn/AMC1351" TargetMode="External"/><Relationship Id="rId4" Type="http://schemas.openxmlformats.org/officeDocument/2006/relationships/hyperlink" Target="http://www.ti.com/lit/gpn/AMC1301-Q1" TargetMode="External"/><Relationship Id="rId9" Type="http://schemas.openxmlformats.org/officeDocument/2006/relationships/hyperlink" Target="http://www.ti.com/lit/gpn/AMC3301" TargetMode="External"/><Relationship Id="rId14" Type="http://schemas.openxmlformats.org/officeDocument/2006/relationships/hyperlink" Target="http://www.ti.com/lit/gpn/AMC1400" TargetMode="External"/><Relationship Id="rId22" Type="http://schemas.openxmlformats.org/officeDocument/2006/relationships/hyperlink" Target="https://www.ti.com/lit/sbaa350" TargetMode="External"/><Relationship Id="rId27" Type="http://schemas.openxmlformats.org/officeDocument/2006/relationships/hyperlink" Target="http://www.ti.com/lit/gpn/AMC0311S" TargetMode="External"/><Relationship Id="rId30"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table" Target="../tables/table1.xml"/></Relationships>
</file>

<file path=xl/worksheets/_rels/sheet5.xml.rels><?xml version="1.0" encoding="UTF-8" standalone="yes"?>
<Relationships xmlns="http://schemas.openxmlformats.org/package/2006/relationships"><Relationship Id="rId3" Type="http://schemas.openxmlformats.org/officeDocument/2006/relationships/table" Target="../tables/table2.xml"/><Relationship Id="rId2" Type="http://schemas.openxmlformats.org/officeDocument/2006/relationships/drawing" Target="../drawings/drawing5.xml"/><Relationship Id="rId1" Type="http://schemas.openxmlformats.org/officeDocument/2006/relationships/printerSettings" Target="../printerSettings/printerSettings5.bin"/><Relationship Id="rId5" Type="http://schemas.openxmlformats.org/officeDocument/2006/relationships/table" Target="../tables/table4.xml"/><Relationship Id="rId4" Type="http://schemas.openxmlformats.org/officeDocument/2006/relationships/table" Target="../tables/table3.xml"/></Relationships>
</file>

<file path=xl/worksheets/_rels/sheet6.xml.rels><?xml version="1.0" encoding="UTF-8" standalone="yes"?>
<Relationships xmlns="http://schemas.openxmlformats.org/package/2006/relationships"><Relationship Id="rId3" Type="http://schemas.openxmlformats.org/officeDocument/2006/relationships/drawing" Target="../drawings/drawing6.xml"/><Relationship Id="rId2" Type="http://schemas.openxmlformats.org/officeDocument/2006/relationships/printerSettings" Target="../printerSettings/printerSettings6.bin"/><Relationship Id="rId1" Type="http://schemas.openxmlformats.org/officeDocument/2006/relationships/hyperlink" Target="http://e2e.ti.com/support/data_converters/precision_data_converters/"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AE89"/>
  <sheetViews>
    <sheetView showGridLines="0" showRowColHeaders="0" tabSelected="1" zoomScaleNormal="100" workbookViewId="0">
      <selection activeCell="B13" sqref="B13:D13"/>
    </sheetView>
  </sheetViews>
  <sheetFormatPr defaultColWidth="8.73046875" defaultRowHeight="14.25"/>
  <cols>
    <col min="1" max="2" width="8.73046875" style="153"/>
    <col min="3" max="5" width="10.73046875" style="153" customWidth="1"/>
    <col min="6" max="16384" width="8.73046875" style="153"/>
  </cols>
  <sheetData>
    <row r="1" spans="1:31" ht="15" customHeight="1">
      <c r="A1" s="519"/>
      <c r="B1" s="519"/>
      <c r="C1" s="519"/>
      <c r="D1" s="519"/>
      <c r="E1" s="519"/>
      <c r="F1" s="519"/>
      <c r="G1" s="519"/>
      <c r="H1" s="519"/>
      <c r="I1" s="519"/>
      <c r="J1" s="519"/>
      <c r="K1" s="519"/>
      <c r="L1" s="519"/>
      <c r="M1" s="519"/>
      <c r="N1" s="519"/>
      <c r="O1" s="519"/>
      <c r="P1" s="519"/>
      <c r="Q1" s="519"/>
      <c r="R1" s="519"/>
      <c r="S1" s="519"/>
      <c r="T1" s="519"/>
      <c r="U1" s="519"/>
    </row>
    <row r="2" spans="1:31" ht="15" customHeight="1">
      <c r="A2" s="519"/>
      <c r="B2" s="519"/>
      <c r="C2" s="519"/>
      <c r="D2" s="519"/>
      <c r="E2" s="519"/>
      <c r="F2" s="519"/>
      <c r="G2" s="519"/>
      <c r="H2" s="519"/>
      <c r="I2" s="519"/>
      <c r="J2" s="519"/>
      <c r="K2" s="519"/>
      <c r="L2" s="519"/>
      <c r="M2" s="519"/>
      <c r="N2" s="519"/>
      <c r="O2" s="519"/>
      <c r="P2" s="519"/>
      <c r="Q2" s="519"/>
      <c r="R2" s="519"/>
      <c r="S2" s="519"/>
      <c r="T2" s="519"/>
      <c r="U2" s="519"/>
    </row>
    <row r="3" spans="1:31" ht="15" customHeight="1">
      <c r="A3" s="519"/>
      <c r="B3" s="519"/>
      <c r="C3" s="519"/>
      <c r="D3" s="519"/>
      <c r="E3" s="519"/>
      <c r="F3" s="519"/>
      <c r="G3" s="519"/>
      <c r="H3" s="519"/>
      <c r="I3" s="519"/>
      <c r="J3" s="519"/>
      <c r="K3" s="519"/>
      <c r="L3" s="519"/>
      <c r="M3" s="519"/>
      <c r="N3" s="519"/>
      <c r="O3" s="519"/>
      <c r="P3" s="519"/>
      <c r="Q3" s="519"/>
      <c r="R3" s="519"/>
      <c r="S3" s="519"/>
      <c r="T3" s="519"/>
      <c r="U3" s="519"/>
    </row>
    <row r="4" spans="1:31" ht="15" customHeight="1">
      <c r="A4" s="522"/>
      <c r="B4" s="522"/>
      <c r="C4" s="522"/>
      <c r="D4" s="522"/>
      <c r="E4" s="522"/>
      <c r="F4" s="522"/>
      <c r="G4" s="522"/>
      <c r="H4" s="522"/>
      <c r="I4" s="522"/>
      <c r="J4" s="522"/>
      <c r="K4" s="522"/>
      <c r="L4" s="522"/>
      <c r="M4" s="522"/>
      <c r="N4" s="522"/>
      <c r="O4" s="522"/>
      <c r="P4" s="522"/>
      <c r="Q4" s="522"/>
      <c r="R4" s="522"/>
      <c r="S4" s="522"/>
      <c r="T4" s="522"/>
      <c r="U4" s="522"/>
      <c r="V4" s="522"/>
      <c r="W4" s="522"/>
      <c r="X4" s="522"/>
      <c r="Y4" s="522"/>
      <c r="Z4" s="522"/>
      <c r="AA4" s="522"/>
      <c r="AB4" s="522"/>
      <c r="AC4" s="522"/>
      <c r="AD4" s="522"/>
      <c r="AE4" s="522"/>
    </row>
    <row r="5" spans="1:31" ht="15" customHeight="1">
      <c r="A5" s="155"/>
      <c r="B5" s="155"/>
      <c r="C5" s="155"/>
      <c r="D5" s="155"/>
      <c r="E5" s="155"/>
      <c r="F5" s="155"/>
      <c r="G5" s="155"/>
      <c r="H5" s="155"/>
      <c r="I5" s="155"/>
      <c r="J5" s="155"/>
      <c r="K5" s="155"/>
      <c r="L5" s="155"/>
      <c r="M5" s="155"/>
      <c r="N5" s="155"/>
      <c r="O5" s="155"/>
      <c r="P5" s="155"/>
      <c r="Q5" s="155"/>
      <c r="R5" s="155"/>
      <c r="S5" s="155"/>
      <c r="T5" s="155"/>
      <c r="U5" s="155"/>
      <c r="V5" s="155"/>
    </row>
    <row r="6" spans="1:31" ht="15" customHeight="1">
      <c r="A6" s="155"/>
      <c r="B6" s="155"/>
      <c r="C6" s="155"/>
      <c r="D6" s="155"/>
      <c r="E6" s="155"/>
      <c r="F6" s="155"/>
      <c r="G6" s="155"/>
      <c r="H6" s="155"/>
      <c r="I6" s="155"/>
      <c r="J6" s="155"/>
      <c r="K6" s="155"/>
      <c r="L6" s="155"/>
      <c r="M6" s="155"/>
      <c r="N6" s="155"/>
      <c r="O6" s="155"/>
      <c r="P6" s="155"/>
      <c r="Q6" s="155"/>
      <c r="R6" s="155"/>
      <c r="S6" s="155"/>
      <c r="T6" s="155"/>
      <c r="U6" s="155"/>
      <c r="V6" s="155"/>
    </row>
    <row r="7" spans="1:31" ht="15" customHeight="1" thickBot="1">
      <c r="A7" s="155"/>
      <c r="B7" s="520" t="s">
        <v>3</v>
      </c>
      <c r="C7" s="520"/>
      <c r="D7" s="520"/>
      <c r="E7" s="155"/>
      <c r="F7" s="520" t="s">
        <v>4</v>
      </c>
      <c r="G7" s="520"/>
      <c r="H7" s="520"/>
      <c r="I7" s="520"/>
      <c r="J7" s="520"/>
      <c r="K7" s="520"/>
      <c r="L7" s="520"/>
      <c r="M7" s="520"/>
      <c r="N7" s="520"/>
      <c r="O7" s="520"/>
      <c r="P7" s="520"/>
      <c r="Q7" s="520"/>
      <c r="S7" s="155"/>
      <c r="T7" s="155"/>
      <c r="U7" s="155"/>
      <c r="V7" s="155"/>
    </row>
    <row r="8" spans="1:31" ht="15" customHeight="1">
      <c r="A8" s="155"/>
      <c r="B8" s="155"/>
      <c r="C8" s="155"/>
      <c r="D8" s="155"/>
      <c r="E8" s="155"/>
      <c r="F8" s="263"/>
      <c r="G8" s="155"/>
      <c r="H8" s="155"/>
      <c r="I8" s="155"/>
      <c r="J8" s="155"/>
      <c r="K8" s="155"/>
      <c r="L8" s="155"/>
      <c r="M8" s="155"/>
      <c r="N8" s="155"/>
      <c r="O8" s="155"/>
      <c r="P8" s="155"/>
      <c r="Q8" s="155"/>
      <c r="S8" s="155"/>
      <c r="T8" s="155"/>
      <c r="U8" s="155"/>
      <c r="V8" s="155"/>
    </row>
    <row r="9" spans="1:31" ht="15" customHeight="1">
      <c r="A9" s="155"/>
      <c r="B9" s="523" t="s">
        <v>6</v>
      </c>
      <c r="C9" s="523"/>
      <c r="D9" s="523"/>
      <c r="E9" s="264"/>
      <c r="F9" s="521" t="s">
        <v>7</v>
      </c>
      <c r="G9" s="521"/>
      <c r="H9" s="521"/>
      <c r="I9" s="521"/>
      <c r="J9" s="521"/>
      <c r="K9" s="521"/>
      <c r="L9" s="521"/>
      <c r="M9" s="521"/>
      <c r="N9" s="521"/>
      <c r="O9" s="521"/>
      <c r="P9" s="521"/>
      <c r="Q9" s="521"/>
      <c r="S9" s="155"/>
      <c r="T9" s="155"/>
      <c r="U9" s="155"/>
      <c r="V9" s="155"/>
    </row>
    <row r="10" spans="1:31" ht="15" customHeight="1">
      <c r="A10" s="155"/>
      <c r="B10" s="265"/>
      <c r="C10" s="265"/>
      <c r="D10" s="265"/>
      <c r="E10" s="264"/>
      <c r="F10" s="266"/>
      <c r="G10" s="266"/>
      <c r="H10" s="266"/>
      <c r="I10" s="266"/>
      <c r="J10" s="266"/>
      <c r="K10" s="266"/>
      <c r="L10" s="266"/>
      <c r="M10" s="266"/>
      <c r="N10" s="266"/>
      <c r="O10" s="266"/>
      <c r="P10" s="266"/>
      <c r="Q10" s="266"/>
      <c r="S10" s="155"/>
      <c r="T10" s="155"/>
      <c r="U10" s="155"/>
      <c r="V10" s="155"/>
    </row>
    <row r="11" spans="1:31" ht="15" customHeight="1">
      <c r="A11" s="155"/>
      <c r="B11" s="265" t="s">
        <v>444</v>
      </c>
      <c r="C11" s="265"/>
      <c r="D11" s="265"/>
      <c r="E11" s="264"/>
      <c r="F11" s="266" t="s">
        <v>447</v>
      </c>
      <c r="G11" s="266"/>
      <c r="H11" s="266"/>
      <c r="I11" s="266"/>
      <c r="J11" s="266"/>
      <c r="K11" s="266"/>
      <c r="L11" s="266"/>
      <c r="M11" s="266"/>
      <c r="N11" s="266"/>
      <c r="O11" s="266"/>
      <c r="P11" s="266"/>
      <c r="Q11" s="266"/>
      <c r="S11" s="155"/>
      <c r="T11" s="155"/>
      <c r="U11" s="155"/>
      <c r="V11" s="155"/>
    </row>
    <row r="12" spans="1:31" ht="15" customHeight="1">
      <c r="A12" s="155"/>
      <c r="B12" s="209"/>
      <c r="C12" s="209"/>
      <c r="D12" s="209"/>
      <c r="E12" s="264"/>
      <c r="F12" s="264"/>
      <c r="G12" s="264"/>
      <c r="H12" s="264"/>
      <c r="I12" s="264"/>
      <c r="J12" s="264"/>
      <c r="K12" s="264"/>
      <c r="L12" s="264"/>
      <c r="M12" s="264"/>
      <c r="N12" s="264"/>
      <c r="O12" s="264"/>
      <c r="P12" s="264"/>
      <c r="Q12" s="264"/>
      <c r="S12" s="155"/>
      <c r="T12" s="155"/>
      <c r="U12" s="155"/>
      <c r="V12" s="155"/>
    </row>
    <row r="13" spans="1:31" ht="15" customHeight="1">
      <c r="A13" s="155"/>
      <c r="B13" s="524" t="s">
        <v>206</v>
      </c>
      <c r="C13" s="524"/>
      <c r="D13" s="524"/>
      <c r="E13" s="264"/>
      <c r="F13" s="521" t="s">
        <v>209</v>
      </c>
      <c r="G13" s="521"/>
      <c r="H13" s="521"/>
      <c r="I13" s="521"/>
      <c r="J13" s="521"/>
      <c r="K13" s="521"/>
      <c r="L13" s="521"/>
      <c r="M13" s="521"/>
      <c r="N13" s="521"/>
      <c r="O13" s="521"/>
      <c r="P13" s="521"/>
      <c r="Q13" s="521"/>
      <c r="S13" s="155"/>
      <c r="T13" s="155"/>
      <c r="U13" s="155"/>
      <c r="V13" s="155"/>
    </row>
    <row r="14" spans="1:31" ht="15" customHeight="1">
      <c r="A14" s="155"/>
      <c r="B14" s="209"/>
      <c r="C14" s="209"/>
      <c r="D14" s="209"/>
      <c r="E14" s="264"/>
      <c r="F14" s="264"/>
      <c r="G14" s="268"/>
      <c r="H14" s="264"/>
      <c r="I14" s="264"/>
      <c r="J14" s="264"/>
      <c r="K14" s="264"/>
      <c r="L14" s="264"/>
      <c r="M14" s="264"/>
      <c r="N14" s="264"/>
      <c r="O14" s="264"/>
      <c r="P14" s="264"/>
      <c r="Q14" s="264"/>
      <c r="S14" s="155"/>
      <c r="T14" s="155"/>
      <c r="U14" s="155"/>
      <c r="V14" s="155"/>
    </row>
    <row r="15" spans="1:31" ht="15" customHeight="1">
      <c r="A15" s="155"/>
      <c r="B15" s="524" t="s">
        <v>47</v>
      </c>
      <c r="C15" s="523"/>
      <c r="D15" s="523"/>
      <c r="E15" s="264"/>
      <c r="F15" s="521" t="s">
        <v>210</v>
      </c>
      <c r="G15" s="521"/>
      <c r="H15" s="521"/>
      <c r="I15" s="521"/>
      <c r="J15" s="521"/>
      <c r="K15" s="521"/>
      <c r="L15" s="521"/>
      <c r="M15" s="521"/>
      <c r="N15" s="521"/>
      <c r="O15" s="521"/>
      <c r="P15" s="521"/>
      <c r="Q15" s="521"/>
      <c r="S15" s="155"/>
      <c r="T15" s="155"/>
      <c r="U15" s="155"/>
      <c r="V15" s="155"/>
    </row>
    <row r="16" spans="1:31" ht="15" customHeight="1">
      <c r="A16" s="155"/>
      <c r="B16" s="209"/>
      <c r="C16" s="209"/>
      <c r="D16" s="209"/>
      <c r="E16" s="264"/>
      <c r="F16" s="264"/>
      <c r="G16" s="264"/>
      <c r="H16" s="264"/>
      <c r="I16" s="264"/>
      <c r="J16" s="264"/>
      <c r="K16" s="264"/>
      <c r="L16" s="264"/>
      <c r="M16" s="264"/>
      <c r="N16" s="264"/>
      <c r="O16" s="264"/>
      <c r="P16" s="264"/>
      <c r="Q16" s="264"/>
      <c r="S16" s="155"/>
      <c r="T16" s="155"/>
      <c r="U16" s="155"/>
      <c r="V16" s="155"/>
    </row>
    <row r="17" spans="1:22" ht="15" customHeight="1">
      <c r="A17" s="155"/>
      <c r="B17" s="524" t="s">
        <v>208</v>
      </c>
      <c r="C17" s="523"/>
      <c r="D17" s="523"/>
      <c r="E17" s="264"/>
      <c r="F17" s="521" t="s">
        <v>5</v>
      </c>
      <c r="G17" s="521"/>
      <c r="H17" s="521"/>
      <c r="I17" s="521"/>
      <c r="J17" s="521"/>
      <c r="K17" s="521"/>
      <c r="L17" s="521"/>
      <c r="M17" s="521"/>
      <c r="N17" s="521"/>
      <c r="O17" s="521"/>
      <c r="P17" s="521"/>
      <c r="Q17" s="521"/>
      <c r="S17" s="155"/>
      <c r="T17" s="155"/>
      <c r="U17" s="155"/>
      <c r="V17" s="155"/>
    </row>
    <row r="18" spans="1:22" ht="15" customHeight="1">
      <c r="A18" s="155"/>
      <c r="B18" s="209"/>
      <c r="C18" s="209"/>
      <c r="D18" s="209"/>
      <c r="E18" s="155"/>
      <c r="F18" s="263"/>
      <c r="G18" s="155"/>
      <c r="H18" s="155"/>
      <c r="I18" s="155"/>
      <c r="J18" s="155"/>
      <c r="K18" s="155"/>
      <c r="L18" s="155"/>
      <c r="M18" s="155"/>
      <c r="N18" s="155"/>
      <c r="O18" s="155"/>
      <c r="P18" s="155"/>
      <c r="Q18" s="155"/>
      <c r="S18" s="155"/>
      <c r="T18" s="155"/>
      <c r="U18" s="155"/>
      <c r="V18" s="155"/>
    </row>
    <row r="19" spans="1:22" ht="15" customHeight="1">
      <c r="A19" s="155"/>
      <c r="B19" s="155"/>
      <c r="H19" s="155"/>
      <c r="I19" s="204"/>
      <c r="J19" s="204"/>
      <c r="K19" s="204"/>
      <c r="L19" s="204"/>
      <c r="M19" s="204"/>
      <c r="N19" s="204"/>
      <c r="O19" s="204"/>
      <c r="P19" s="204"/>
      <c r="Q19" s="204"/>
      <c r="R19" s="204"/>
      <c r="S19" s="204"/>
      <c r="T19" s="204"/>
      <c r="U19" s="204"/>
      <c r="V19" s="155"/>
    </row>
    <row r="20" spans="1:22" ht="15" customHeight="1" thickBot="1">
      <c r="A20" s="155"/>
      <c r="B20" s="520" t="s">
        <v>12</v>
      </c>
      <c r="C20" s="520"/>
      <c r="D20" s="520"/>
      <c r="E20" s="267"/>
      <c r="F20" s="267"/>
      <c r="G20" s="267"/>
      <c r="H20" s="267"/>
      <c r="I20" s="267"/>
      <c r="J20" s="267"/>
      <c r="K20" s="267"/>
      <c r="L20" s="267"/>
      <c r="M20" s="267"/>
      <c r="N20" s="267"/>
      <c r="O20" s="267"/>
      <c r="P20" s="267"/>
      <c r="Q20" s="267"/>
      <c r="R20" s="155"/>
      <c r="S20" s="155"/>
      <c r="T20" s="155"/>
      <c r="U20" s="155"/>
      <c r="V20" s="155"/>
    </row>
    <row r="21" spans="1:22" ht="15" customHeight="1">
      <c r="A21" s="155"/>
      <c r="B21" s="521" t="s">
        <v>211</v>
      </c>
      <c r="C21" s="521"/>
      <c r="D21" s="521"/>
      <c r="E21" s="521"/>
      <c r="F21" s="521"/>
      <c r="G21" s="521"/>
      <c r="H21" s="521"/>
      <c r="I21" s="521"/>
      <c r="J21" s="521"/>
      <c r="K21" s="521"/>
      <c r="L21" s="521"/>
      <c r="M21" s="521"/>
      <c r="N21" s="521"/>
      <c r="O21" s="521"/>
      <c r="P21" s="521"/>
      <c r="Q21" s="155"/>
      <c r="R21" s="155"/>
      <c r="S21" s="155"/>
      <c r="T21" s="155"/>
      <c r="U21" s="155"/>
      <c r="V21" s="155"/>
    </row>
    <row r="22" spans="1:22" ht="15" customHeight="1">
      <c r="A22" s="155"/>
      <c r="B22" s="209"/>
      <c r="C22" s="209"/>
      <c r="D22" s="209"/>
      <c r="E22" s="209"/>
      <c r="F22" s="209"/>
      <c r="G22" s="209"/>
      <c r="H22" s="209"/>
      <c r="I22" s="209"/>
      <c r="J22" s="209"/>
      <c r="K22" s="209"/>
      <c r="L22" s="209"/>
      <c r="M22" s="209"/>
      <c r="N22" s="209"/>
      <c r="O22" s="209"/>
      <c r="P22" s="209"/>
      <c r="Q22" s="155"/>
      <c r="R22" s="155"/>
      <c r="S22" s="155"/>
      <c r="T22" s="155"/>
      <c r="U22" s="155"/>
      <c r="V22" s="155"/>
    </row>
    <row r="23" spans="1:22" ht="15" customHeight="1">
      <c r="A23" s="155"/>
      <c r="B23" s="155"/>
      <c r="C23" s="155"/>
      <c r="D23" s="155"/>
      <c r="E23" s="155"/>
      <c r="F23" s="155"/>
      <c r="G23" s="155"/>
      <c r="H23" s="155"/>
      <c r="J23" s="155"/>
      <c r="K23" s="155"/>
      <c r="L23" s="155"/>
      <c r="M23" s="155"/>
      <c r="N23" s="155"/>
      <c r="O23" s="155"/>
      <c r="P23" s="155"/>
      <c r="Q23" s="155"/>
      <c r="R23" s="155"/>
      <c r="S23" s="155"/>
      <c r="T23" s="155"/>
      <c r="U23" s="155"/>
      <c r="V23" s="155"/>
    </row>
    <row r="24" spans="1:22" ht="15" customHeight="1">
      <c r="A24" s="155"/>
      <c r="R24" s="155"/>
      <c r="S24" s="155"/>
      <c r="T24" s="155"/>
      <c r="U24" s="155"/>
      <c r="V24" s="155"/>
    </row>
    <row r="25" spans="1:22" ht="15" customHeight="1">
      <c r="A25" s="155"/>
      <c r="B25" s="155"/>
      <c r="J25" s="155"/>
      <c r="K25" s="155"/>
      <c r="L25" s="155"/>
      <c r="M25" s="155"/>
      <c r="N25" s="155"/>
      <c r="O25" s="155"/>
      <c r="P25" s="155"/>
      <c r="Q25" s="155"/>
      <c r="R25" s="155"/>
      <c r="S25" s="155"/>
      <c r="T25" s="155"/>
      <c r="U25" s="155"/>
      <c r="V25" s="155"/>
    </row>
    <row r="26" spans="1:22" ht="15" customHeight="1">
      <c r="A26" s="155"/>
      <c r="B26" s="155"/>
      <c r="J26" s="155"/>
      <c r="K26" s="155"/>
      <c r="L26" s="155"/>
      <c r="M26" s="155"/>
      <c r="N26" s="155"/>
      <c r="O26" s="155"/>
      <c r="P26" s="155"/>
      <c r="Q26" s="155"/>
      <c r="R26" s="155"/>
      <c r="S26" s="155"/>
      <c r="T26" s="155"/>
      <c r="U26" s="155"/>
      <c r="V26" s="155"/>
    </row>
    <row r="27" spans="1:22" ht="15" customHeight="1">
      <c r="A27" s="155"/>
      <c r="B27" s="155"/>
      <c r="J27" s="155"/>
      <c r="K27" s="155"/>
      <c r="L27" s="155"/>
      <c r="M27" s="155"/>
      <c r="N27" s="155"/>
      <c r="O27" s="155"/>
      <c r="P27" s="155"/>
      <c r="Q27" s="155"/>
      <c r="R27" s="155"/>
      <c r="S27" s="155"/>
      <c r="T27" s="155"/>
      <c r="U27" s="155"/>
      <c r="V27" s="155"/>
    </row>
    <row r="28" spans="1:22" ht="15" customHeight="1">
      <c r="A28" s="155"/>
      <c r="B28" s="155"/>
      <c r="C28" s="264"/>
      <c r="D28" s="155"/>
      <c r="E28" s="155"/>
      <c r="F28" s="155"/>
      <c r="G28" s="155"/>
      <c r="H28" s="155"/>
      <c r="I28" s="155"/>
      <c r="J28" s="155"/>
      <c r="K28" s="155"/>
      <c r="L28" s="155"/>
      <c r="M28" s="155"/>
      <c r="N28" s="155"/>
      <c r="O28" s="155"/>
      <c r="P28" s="155"/>
      <c r="Q28" s="155"/>
      <c r="R28" s="155"/>
      <c r="S28" s="155"/>
      <c r="T28" s="155"/>
      <c r="U28" s="155"/>
      <c r="V28" s="155"/>
    </row>
    <row r="29" spans="1:22" ht="15" customHeight="1">
      <c r="A29" s="155"/>
      <c r="B29" s="155"/>
      <c r="I29" s="155"/>
      <c r="J29" s="155"/>
      <c r="K29" s="155"/>
      <c r="L29" s="155"/>
      <c r="M29" s="155"/>
      <c r="N29" s="155"/>
      <c r="O29" s="155"/>
      <c r="P29" s="155"/>
      <c r="Q29" s="155"/>
      <c r="R29" s="155"/>
      <c r="S29" s="155"/>
      <c r="T29" s="155"/>
      <c r="U29" s="155"/>
      <c r="V29" s="155"/>
    </row>
    <row r="30" spans="1:22" ht="15" customHeight="1">
      <c r="A30" s="155"/>
      <c r="B30" s="155"/>
      <c r="I30" s="155"/>
      <c r="J30" s="155"/>
      <c r="K30" s="155"/>
      <c r="L30" s="155"/>
      <c r="M30" s="155"/>
      <c r="N30" s="155"/>
      <c r="O30" s="155"/>
      <c r="P30" s="155"/>
      <c r="Q30" s="155"/>
      <c r="R30" s="155"/>
      <c r="S30" s="155"/>
      <c r="T30" s="155"/>
      <c r="U30" s="155"/>
      <c r="V30" s="155"/>
    </row>
    <row r="31" spans="1:22" ht="15" customHeight="1">
      <c r="A31" s="155"/>
      <c r="B31" s="155"/>
      <c r="I31" s="155"/>
      <c r="J31" s="155"/>
      <c r="K31" s="155"/>
      <c r="L31" s="155"/>
      <c r="M31" s="155"/>
      <c r="N31" s="155"/>
      <c r="O31" s="155"/>
      <c r="P31" s="155"/>
      <c r="Q31" s="155"/>
      <c r="R31" s="155"/>
      <c r="S31" s="155"/>
      <c r="T31" s="155"/>
      <c r="U31" s="155"/>
      <c r="V31" s="155"/>
    </row>
    <row r="32" spans="1:22" ht="15" customHeight="1">
      <c r="A32" s="155"/>
      <c r="B32" s="155"/>
      <c r="I32" s="155"/>
      <c r="J32" s="155"/>
      <c r="K32" s="155"/>
      <c r="L32" s="155"/>
      <c r="M32" s="155"/>
      <c r="N32" s="155"/>
      <c r="O32" s="155"/>
      <c r="P32" s="155"/>
      <c r="Q32" s="155"/>
      <c r="R32" s="155"/>
      <c r="S32" s="155"/>
      <c r="T32" s="155"/>
      <c r="U32" s="155"/>
      <c r="V32" s="155"/>
    </row>
    <row r="33" spans="1:22" ht="15" customHeight="1">
      <c r="A33" s="155"/>
      <c r="B33" s="155"/>
      <c r="I33" s="155"/>
      <c r="J33" s="155"/>
      <c r="K33" s="155"/>
      <c r="L33" s="155"/>
      <c r="M33" s="155"/>
      <c r="N33" s="155"/>
      <c r="O33" s="155"/>
      <c r="P33" s="155"/>
      <c r="Q33" s="155"/>
      <c r="R33" s="155"/>
      <c r="S33" s="155"/>
      <c r="T33" s="155"/>
      <c r="U33" s="155"/>
      <c r="V33" s="155"/>
    </row>
    <row r="34" spans="1:22" ht="15" customHeight="1">
      <c r="A34" s="155"/>
      <c r="B34" s="155"/>
      <c r="I34" s="155"/>
      <c r="J34" s="155"/>
      <c r="K34" s="155"/>
      <c r="L34" s="155"/>
      <c r="M34" s="155"/>
      <c r="N34" s="155"/>
      <c r="O34" s="155"/>
      <c r="P34" s="155"/>
      <c r="Q34" s="155"/>
      <c r="R34" s="155"/>
      <c r="S34" s="155"/>
      <c r="T34" s="155"/>
      <c r="U34" s="155"/>
      <c r="V34" s="155"/>
    </row>
    <row r="35" spans="1:22" ht="15" customHeight="1">
      <c r="A35" s="155"/>
      <c r="B35" s="155"/>
      <c r="I35" s="155"/>
      <c r="J35" s="155"/>
      <c r="K35" s="155"/>
      <c r="L35" s="155"/>
      <c r="M35" s="155"/>
      <c r="N35" s="155"/>
      <c r="O35" s="155"/>
      <c r="P35" s="155"/>
      <c r="Q35" s="155"/>
      <c r="R35" s="155"/>
      <c r="S35" s="155"/>
      <c r="T35" s="155"/>
      <c r="U35" s="155"/>
      <c r="V35" s="155"/>
    </row>
    <row r="36" spans="1:22" ht="15" customHeight="1">
      <c r="A36" s="155"/>
      <c r="B36" s="155"/>
      <c r="I36" s="155"/>
      <c r="J36" s="155"/>
      <c r="K36" s="155"/>
      <c r="L36" s="155"/>
      <c r="M36" s="155"/>
      <c r="N36" s="155"/>
      <c r="O36" s="155"/>
      <c r="P36" s="155"/>
      <c r="Q36" s="155"/>
      <c r="R36" s="155"/>
      <c r="S36" s="155"/>
      <c r="T36" s="155"/>
      <c r="U36" s="155"/>
      <c r="V36" s="155"/>
    </row>
    <row r="37" spans="1:22" ht="15" customHeight="1">
      <c r="A37" s="155"/>
      <c r="B37" s="155"/>
      <c r="C37" s="155"/>
      <c r="D37" s="155"/>
      <c r="E37" s="155"/>
      <c r="F37" s="155"/>
      <c r="G37" s="155"/>
      <c r="H37" s="155"/>
      <c r="I37" s="155"/>
      <c r="J37" s="155"/>
      <c r="K37" s="155"/>
      <c r="L37" s="155"/>
      <c r="M37" s="155"/>
      <c r="N37" s="155"/>
      <c r="O37" s="155"/>
      <c r="P37" s="155"/>
      <c r="Q37" s="155"/>
      <c r="R37" s="155"/>
      <c r="S37" s="155"/>
      <c r="T37" s="155"/>
      <c r="U37" s="155"/>
      <c r="V37" s="155"/>
    </row>
    <row r="38" spans="1:22" ht="15" customHeight="1">
      <c r="A38" s="155"/>
      <c r="B38" s="155"/>
      <c r="C38" s="155"/>
      <c r="D38" s="155"/>
      <c r="E38" s="155"/>
      <c r="F38" s="155"/>
      <c r="G38" s="155"/>
      <c r="H38" s="155"/>
      <c r="I38" s="155"/>
      <c r="J38" s="155"/>
      <c r="K38" s="155"/>
      <c r="L38" s="155"/>
      <c r="M38" s="155"/>
      <c r="N38" s="155"/>
      <c r="O38" s="155"/>
      <c r="P38" s="155"/>
      <c r="Q38" s="155"/>
      <c r="R38" s="155"/>
      <c r="S38" s="155"/>
      <c r="T38" s="155"/>
      <c r="U38" s="155"/>
      <c r="V38" s="155"/>
    </row>
    <row r="39" spans="1:22" ht="15" customHeight="1">
      <c r="A39" s="155"/>
      <c r="B39" s="155"/>
      <c r="C39" s="155"/>
      <c r="D39" s="155"/>
      <c r="E39" s="155"/>
      <c r="F39" s="155"/>
      <c r="G39" s="155"/>
      <c r="H39" s="155"/>
      <c r="I39" s="155"/>
      <c r="J39" s="155"/>
      <c r="K39" s="155"/>
      <c r="L39" s="155"/>
      <c r="M39" s="155"/>
      <c r="N39" s="155"/>
      <c r="O39" s="155"/>
      <c r="P39" s="155"/>
      <c r="Q39" s="155"/>
      <c r="R39" s="155"/>
      <c r="S39" s="155"/>
      <c r="T39" s="155"/>
      <c r="U39" s="155"/>
      <c r="V39" s="155"/>
    </row>
    <row r="40" spans="1:22" ht="15" customHeight="1">
      <c r="A40" s="155"/>
      <c r="B40" s="155"/>
      <c r="C40" s="155"/>
      <c r="D40" s="155"/>
      <c r="E40" s="155"/>
      <c r="F40" s="155"/>
      <c r="G40" s="155"/>
      <c r="H40" s="155"/>
      <c r="I40" s="155"/>
      <c r="J40" s="155"/>
      <c r="K40" s="155"/>
      <c r="L40" s="155"/>
      <c r="M40" s="155"/>
      <c r="N40" s="155"/>
      <c r="O40" s="155"/>
      <c r="P40" s="155"/>
      <c r="Q40" s="155"/>
      <c r="R40" s="155"/>
      <c r="S40" s="155"/>
      <c r="T40" s="155"/>
      <c r="U40" s="155"/>
      <c r="V40" s="155"/>
    </row>
    <row r="41" spans="1:22" ht="15" customHeight="1">
      <c r="A41" s="155"/>
      <c r="B41" s="155"/>
      <c r="C41" s="155"/>
      <c r="D41" s="155"/>
      <c r="E41" s="155"/>
      <c r="F41" s="155"/>
      <c r="G41" s="155"/>
      <c r="H41" s="155"/>
      <c r="I41" s="155"/>
      <c r="J41" s="155"/>
      <c r="K41" s="155"/>
      <c r="L41" s="155"/>
      <c r="M41" s="155"/>
      <c r="N41" s="155"/>
      <c r="O41" s="155"/>
      <c r="P41" s="155"/>
      <c r="Q41" s="155"/>
      <c r="R41" s="155"/>
      <c r="S41" s="155"/>
      <c r="T41" s="155"/>
      <c r="U41" s="155"/>
      <c r="V41" s="155"/>
    </row>
    <row r="42" spans="1:22" ht="15" customHeight="1">
      <c r="A42" s="155"/>
      <c r="B42" s="155"/>
      <c r="C42" s="155"/>
      <c r="D42" s="155"/>
      <c r="E42" s="155"/>
      <c r="F42" s="155"/>
      <c r="G42" s="155"/>
      <c r="H42" s="155"/>
      <c r="I42" s="155"/>
      <c r="J42" s="155"/>
      <c r="K42" s="155"/>
      <c r="L42" s="155"/>
      <c r="M42" s="155"/>
      <c r="N42" s="155"/>
      <c r="O42" s="155"/>
      <c r="P42" s="155"/>
      <c r="Q42" s="155"/>
      <c r="R42" s="155"/>
      <c r="S42" s="155"/>
      <c r="T42" s="155"/>
      <c r="U42" s="155"/>
      <c r="V42" s="155"/>
    </row>
    <row r="43" spans="1:22" ht="15" customHeight="1">
      <c r="A43" s="155"/>
      <c r="B43" s="155"/>
      <c r="C43" s="155"/>
      <c r="D43" s="155"/>
      <c r="E43" s="155"/>
      <c r="F43" s="155"/>
      <c r="G43" s="155"/>
      <c r="H43" s="155"/>
      <c r="I43" s="155"/>
      <c r="J43" s="155"/>
      <c r="K43" s="155"/>
      <c r="L43" s="155"/>
      <c r="M43" s="155"/>
      <c r="N43" s="155"/>
      <c r="O43" s="155"/>
      <c r="P43" s="155"/>
      <c r="Q43" s="155"/>
      <c r="R43" s="155"/>
      <c r="S43" s="155"/>
      <c r="T43" s="155"/>
      <c r="U43" s="155"/>
      <c r="V43" s="155"/>
    </row>
    <row r="44" spans="1:22" ht="15" customHeight="1">
      <c r="A44" s="155"/>
      <c r="B44" s="155"/>
      <c r="C44" s="155"/>
      <c r="D44" s="155"/>
      <c r="E44" s="155"/>
      <c r="F44" s="155"/>
      <c r="G44" s="155"/>
      <c r="H44" s="155"/>
      <c r="I44" s="155"/>
      <c r="J44" s="155"/>
      <c r="K44" s="155"/>
      <c r="L44" s="155"/>
      <c r="M44" s="155"/>
      <c r="N44" s="155"/>
      <c r="O44" s="155"/>
      <c r="P44" s="155"/>
      <c r="Q44" s="155"/>
      <c r="R44" s="155"/>
      <c r="S44" s="155"/>
      <c r="T44" s="155"/>
      <c r="U44" s="155"/>
      <c r="V44" s="155"/>
    </row>
    <row r="45" spans="1:22" ht="15" customHeight="1">
      <c r="A45" s="155"/>
      <c r="B45" s="155"/>
      <c r="C45" s="155"/>
      <c r="D45" s="155"/>
      <c r="E45" s="155"/>
      <c r="F45" s="155"/>
      <c r="G45" s="155"/>
      <c r="H45" s="155"/>
      <c r="I45" s="155"/>
      <c r="J45" s="155"/>
      <c r="K45" s="155"/>
      <c r="L45" s="155"/>
      <c r="M45" s="155"/>
      <c r="N45" s="155"/>
      <c r="O45" s="155"/>
      <c r="P45" s="155"/>
      <c r="Q45" s="155"/>
      <c r="R45" s="155"/>
      <c r="S45" s="155"/>
      <c r="T45" s="155"/>
      <c r="U45" s="155"/>
      <c r="V45" s="155"/>
    </row>
    <row r="46" spans="1:22" ht="15" customHeight="1">
      <c r="A46" s="155"/>
      <c r="B46" s="155"/>
      <c r="C46" s="155"/>
      <c r="D46" s="155"/>
      <c r="E46" s="155"/>
      <c r="F46" s="155"/>
      <c r="G46" s="155"/>
      <c r="H46" s="155"/>
      <c r="I46" s="155"/>
      <c r="J46" s="155"/>
      <c r="K46" s="155"/>
      <c r="L46" s="155"/>
      <c r="M46" s="155"/>
      <c r="N46" s="155"/>
      <c r="O46" s="155"/>
      <c r="P46" s="155"/>
      <c r="Q46" s="155"/>
      <c r="R46" s="155"/>
      <c r="S46" s="155"/>
      <c r="T46" s="155"/>
      <c r="U46" s="155"/>
      <c r="V46" s="155"/>
    </row>
    <row r="47" spans="1:22" ht="15" customHeight="1">
      <c r="A47" s="155"/>
      <c r="B47" s="155"/>
      <c r="C47" s="155"/>
      <c r="D47" s="155"/>
      <c r="E47" s="155"/>
      <c r="F47" s="155"/>
      <c r="G47" s="155"/>
      <c r="H47" s="155"/>
      <c r="I47" s="155"/>
      <c r="J47" s="155"/>
      <c r="K47" s="155"/>
      <c r="L47" s="155"/>
      <c r="M47" s="155"/>
      <c r="N47" s="155"/>
      <c r="O47" s="155"/>
      <c r="P47" s="155"/>
      <c r="Q47" s="155"/>
      <c r="R47" s="155"/>
      <c r="S47" s="155"/>
      <c r="T47" s="155"/>
      <c r="U47" s="155"/>
      <c r="V47" s="155"/>
    </row>
    <row r="48" spans="1:22" ht="15" customHeight="1">
      <c r="A48" s="155"/>
      <c r="B48" s="155"/>
      <c r="C48" s="155"/>
      <c r="D48" s="155"/>
      <c r="E48" s="155"/>
      <c r="F48" s="155"/>
      <c r="G48" s="155"/>
      <c r="H48" s="155"/>
      <c r="I48" s="155"/>
      <c r="J48" s="155"/>
      <c r="K48" s="155"/>
      <c r="L48" s="155"/>
      <c r="M48" s="155"/>
      <c r="N48" s="155"/>
      <c r="O48" s="155"/>
      <c r="P48" s="155"/>
      <c r="Q48" s="155"/>
      <c r="R48" s="155"/>
      <c r="S48" s="155"/>
      <c r="T48" s="155"/>
      <c r="U48" s="155"/>
      <c r="V48" s="155"/>
    </row>
    <row r="49" spans="1:22" ht="15" customHeight="1">
      <c r="A49" s="155"/>
      <c r="B49" s="155"/>
      <c r="C49" s="155"/>
      <c r="D49" s="155"/>
      <c r="E49" s="155"/>
      <c r="F49" s="155"/>
      <c r="G49" s="155"/>
      <c r="H49" s="155"/>
      <c r="I49" s="155"/>
      <c r="J49" s="155"/>
      <c r="K49" s="155"/>
      <c r="L49" s="155"/>
      <c r="M49" s="155"/>
      <c r="N49" s="155"/>
      <c r="O49" s="155"/>
      <c r="P49" s="155"/>
      <c r="Q49" s="155"/>
      <c r="R49" s="155"/>
      <c r="S49" s="155"/>
      <c r="T49" s="155"/>
      <c r="U49" s="155"/>
      <c r="V49" s="155"/>
    </row>
    <row r="50" spans="1:22" ht="15" customHeight="1">
      <c r="A50" s="155"/>
      <c r="B50" s="155"/>
      <c r="C50" s="155"/>
      <c r="D50" s="155"/>
      <c r="E50" s="155"/>
      <c r="F50" s="155"/>
      <c r="G50" s="155"/>
      <c r="H50" s="155"/>
      <c r="I50" s="155"/>
      <c r="J50" s="155"/>
      <c r="K50" s="155"/>
      <c r="L50" s="155"/>
      <c r="M50" s="155"/>
      <c r="N50" s="155"/>
      <c r="O50" s="155"/>
      <c r="P50" s="155"/>
      <c r="Q50" s="155"/>
      <c r="R50" s="155"/>
      <c r="S50" s="155"/>
      <c r="T50" s="155"/>
      <c r="U50" s="155"/>
      <c r="V50" s="155"/>
    </row>
    <row r="51" spans="1:22" ht="15" customHeight="1">
      <c r="A51" s="155"/>
      <c r="B51" s="155"/>
      <c r="C51" s="155"/>
      <c r="D51" s="155"/>
      <c r="E51" s="155"/>
      <c r="F51" s="155"/>
      <c r="G51" s="155"/>
      <c r="H51" s="155"/>
      <c r="I51" s="155"/>
      <c r="J51" s="155"/>
      <c r="K51" s="155"/>
      <c r="L51" s="155"/>
      <c r="M51" s="155"/>
      <c r="N51" s="155"/>
      <c r="O51" s="155"/>
      <c r="P51" s="155"/>
      <c r="Q51" s="155"/>
      <c r="R51" s="155"/>
      <c r="S51" s="155"/>
      <c r="T51" s="155"/>
      <c r="U51" s="155"/>
      <c r="V51" s="155"/>
    </row>
    <row r="52" spans="1:22" ht="15" customHeight="1">
      <c r="A52" s="155"/>
      <c r="B52" s="155"/>
      <c r="C52" s="155"/>
      <c r="D52" s="155"/>
      <c r="E52" s="155"/>
      <c r="F52" s="155"/>
      <c r="G52" s="155"/>
      <c r="H52" s="155"/>
      <c r="I52" s="155"/>
      <c r="J52" s="155"/>
      <c r="K52" s="155"/>
      <c r="L52" s="155"/>
      <c r="M52" s="155"/>
      <c r="N52" s="155"/>
      <c r="O52" s="155"/>
      <c r="P52" s="155"/>
      <c r="Q52" s="155"/>
      <c r="R52" s="155"/>
      <c r="S52" s="155"/>
      <c r="T52" s="155"/>
      <c r="U52" s="155"/>
      <c r="V52" s="155"/>
    </row>
    <row r="53" spans="1:22" ht="15" customHeight="1">
      <c r="A53" s="155"/>
      <c r="B53" s="155"/>
      <c r="C53" s="155"/>
      <c r="D53" s="155"/>
      <c r="E53" s="155"/>
      <c r="F53" s="155"/>
      <c r="G53" s="155"/>
      <c r="H53" s="155"/>
      <c r="I53" s="155"/>
      <c r="J53" s="155"/>
      <c r="K53" s="155"/>
      <c r="L53" s="155"/>
      <c r="M53" s="155"/>
      <c r="N53" s="155"/>
      <c r="O53" s="155"/>
      <c r="P53" s="155"/>
      <c r="Q53" s="155"/>
      <c r="R53" s="155"/>
      <c r="S53" s="155"/>
      <c r="T53" s="155"/>
      <c r="U53" s="155"/>
      <c r="V53" s="155"/>
    </row>
    <row r="54" spans="1:22" ht="15" customHeight="1">
      <c r="A54" s="155"/>
      <c r="B54" s="155"/>
      <c r="C54" s="155"/>
      <c r="D54" s="155"/>
      <c r="E54" s="155"/>
      <c r="F54" s="155"/>
      <c r="G54" s="155"/>
      <c r="H54" s="155"/>
      <c r="I54" s="155"/>
      <c r="J54" s="155"/>
      <c r="K54" s="155"/>
      <c r="L54" s="155"/>
      <c r="M54" s="155"/>
      <c r="N54" s="155"/>
      <c r="O54" s="155"/>
      <c r="P54" s="155"/>
      <c r="Q54" s="155"/>
      <c r="R54" s="155"/>
      <c r="S54" s="155"/>
      <c r="T54" s="155"/>
      <c r="U54" s="155"/>
      <c r="V54" s="155"/>
    </row>
    <row r="55" spans="1:22">
      <c r="A55" s="155"/>
      <c r="B55" s="155"/>
      <c r="C55" s="155"/>
      <c r="D55" s="155"/>
      <c r="E55" s="155"/>
      <c r="F55" s="155"/>
      <c r="G55" s="155"/>
      <c r="H55" s="155"/>
      <c r="I55" s="155"/>
      <c r="J55" s="155"/>
      <c r="K55" s="155"/>
      <c r="L55" s="155"/>
      <c r="M55" s="155"/>
      <c r="N55" s="155"/>
      <c r="O55" s="155"/>
      <c r="P55" s="155"/>
      <c r="Q55" s="155"/>
      <c r="R55" s="155"/>
      <c r="S55" s="155"/>
      <c r="T55" s="155"/>
      <c r="U55" s="155"/>
      <c r="V55" s="155"/>
    </row>
    <row r="56" spans="1:22">
      <c r="A56" s="155"/>
      <c r="B56" s="155"/>
      <c r="C56" s="155"/>
      <c r="D56" s="155"/>
      <c r="E56" s="155"/>
      <c r="F56" s="155"/>
      <c r="G56" s="155"/>
      <c r="H56" s="155"/>
      <c r="I56" s="155"/>
      <c r="J56" s="155"/>
      <c r="K56" s="155"/>
      <c r="L56" s="155"/>
      <c r="M56" s="155"/>
      <c r="N56" s="155"/>
      <c r="O56" s="155"/>
      <c r="P56" s="155"/>
      <c r="Q56" s="155"/>
      <c r="R56" s="155"/>
      <c r="S56" s="155"/>
      <c r="T56" s="155"/>
      <c r="U56" s="155"/>
      <c r="V56" s="155"/>
    </row>
    <row r="57" spans="1:22">
      <c r="A57" s="155"/>
      <c r="B57" s="155"/>
      <c r="C57" s="155"/>
      <c r="D57" s="155"/>
      <c r="E57" s="155"/>
      <c r="F57" s="155"/>
      <c r="G57" s="155"/>
      <c r="H57" s="155"/>
      <c r="I57" s="155"/>
      <c r="J57" s="155"/>
      <c r="K57" s="155"/>
      <c r="L57" s="155"/>
      <c r="M57" s="155"/>
      <c r="N57" s="155"/>
      <c r="O57" s="155"/>
      <c r="P57" s="155"/>
      <c r="Q57" s="155"/>
      <c r="R57" s="155"/>
      <c r="S57" s="155"/>
      <c r="T57" s="155"/>
      <c r="U57" s="155"/>
      <c r="V57" s="155"/>
    </row>
    <row r="58" spans="1:22">
      <c r="A58" s="155"/>
      <c r="B58" s="155"/>
      <c r="C58" s="155"/>
      <c r="D58" s="155"/>
      <c r="E58" s="155"/>
      <c r="F58" s="155"/>
      <c r="G58" s="155"/>
      <c r="H58" s="155"/>
      <c r="I58" s="155"/>
      <c r="J58" s="155"/>
      <c r="K58" s="155"/>
      <c r="L58" s="155"/>
      <c r="M58" s="155"/>
      <c r="N58" s="155"/>
      <c r="O58" s="155"/>
      <c r="P58" s="155"/>
      <c r="Q58" s="155"/>
      <c r="R58" s="155"/>
      <c r="S58" s="155"/>
      <c r="T58" s="155"/>
      <c r="U58" s="155"/>
      <c r="V58" s="155"/>
    </row>
    <row r="59" spans="1:22">
      <c r="A59" s="155"/>
      <c r="B59" s="155"/>
      <c r="C59" s="155"/>
      <c r="D59" s="155"/>
      <c r="E59" s="155"/>
      <c r="F59" s="155"/>
      <c r="G59" s="155"/>
      <c r="H59" s="155"/>
      <c r="I59" s="155"/>
      <c r="J59" s="155"/>
      <c r="K59" s="155"/>
      <c r="L59" s="155"/>
      <c r="M59" s="155"/>
      <c r="N59" s="155"/>
      <c r="O59" s="155"/>
      <c r="P59" s="155"/>
      <c r="Q59" s="155"/>
      <c r="R59" s="155"/>
      <c r="S59" s="155"/>
      <c r="T59" s="155"/>
      <c r="U59" s="155"/>
      <c r="V59" s="155"/>
    </row>
    <row r="60" spans="1:22">
      <c r="A60" s="155"/>
      <c r="B60" s="155"/>
      <c r="C60" s="155"/>
      <c r="D60" s="155"/>
      <c r="E60" s="155"/>
      <c r="F60" s="155"/>
      <c r="G60" s="155"/>
      <c r="H60" s="155"/>
      <c r="I60" s="155"/>
      <c r="J60" s="155"/>
      <c r="K60" s="155"/>
      <c r="L60" s="155"/>
      <c r="M60" s="155"/>
      <c r="N60" s="155"/>
      <c r="O60" s="155"/>
      <c r="P60" s="155"/>
      <c r="Q60" s="155"/>
      <c r="R60" s="155"/>
      <c r="S60" s="155"/>
      <c r="T60" s="155"/>
      <c r="U60" s="155"/>
      <c r="V60" s="155"/>
    </row>
    <row r="61" spans="1:22">
      <c r="A61" s="155"/>
      <c r="B61" s="155"/>
      <c r="C61" s="155"/>
      <c r="D61" s="155"/>
      <c r="E61" s="155"/>
      <c r="F61" s="155"/>
      <c r="G61" s="155"/>
      <c r="H61" s="155"/>
      <c r="I61" s="155"/>
      <c r="J61" s="155"/>
      <c r="K61" s="155"/>
      <c r="L61" s="155"/>
      <c r="M61" s="155"/>
      <c r="N61" s="155"/>
      <c r="O61" s="155"/>
      <c r="P61" s="155"/>
      <c r="Q61" s="155"/>
      <c r="R61" s="155"/>
      <c r="S61" s="155"/>
      <c r="T61" s="155"/>
      <c r="U61" s="155"/>
      <c r="V61" s="155"/>
    </row>
    <row r="62" spans="1:22">
      <c r="A62" s="155"/>
      <c r="B62" s="155"/>
      <c r="C62" s="155"/>
      <c r="D62" s="155"/>
      <c r="E62" s="155"/>
      <c r="F62" s="155"/>
      <c r="G62" s="155"/>
      <c r="H62" s="155"/>
      <c r="I62" s="155"/>
      <c r="J62" s="155"/>
      <c r="K62" s="155"/>
      <c r="L62" s="155"/>
      <c r="M62" s="155"/>
      <c r="N62" s="155"/>
      <c r="O62" s="155"/>
      <c r="P62" s="155"/>
      <c r="Q62" s="155"/>
      <c r="R62" s="155"/>
      <c r="S62" s="155"/>
      <c r="T62" s="155"/>
      <c r="U62" s="155"/>
      <c r="V62" s="155"/>
    </row>
    <row r="63" spans="1:22">
      <c r="A63" s="155"/>
      <c r="B63" s="155"/>
      <c r="C63" s="155"/>
      <c r="D63" s="155"/>
      <c r="E63" s="155"/>
      <c r="F63" s="155"/>
      <c r="G63" s="155"/>
      <c r="H63" s="155"/>
      <c r="I63" s="155"/>
      <c r="J63" s="155"/>
      <c r="K63" s="155"/>
      <c r="L63" s="155"/>
      <c r="M63" s="155"/>
      <c r="N63" s="155"/>
      <c r="O63" s="155"/>
      <c r="P63" s="155"/>
      <c r="Q63" s="155"/>
      <c r="R63" s="155"/>
      <c r="S63" s="155"/>
      <c r="T63" s="155"/>
      <c r="U63" s="155"/>
      <c r="V63" s="155"/>
    </row>
    <row r="64" spans="1:22">
      <c r="A64" s="155"/>
      <c r="B64" s="155"/>
      <c r="C64" s="155"/>
      <c r="D64" s="155"/>
      <c r="E64" s="155"/>
      <c r="F64" s="155"/>
      <c r="G64" s="155"/>
      <c r="H64" s="155"/>
      <c r="I64" s="155"/>
      <c r="J64" s="155"/>
      <c r="K64" s="155"/>
      <c r="L64" s="155"/>
      <c r="M64" s="155"/>
      <c r="N64" s="155"/>
      <c r="O64" s="155"/>
      <c r="P64" s="155"/>
      <c r="Q64" s="155"/>
      <c r="R64" s="155"/>
      <c r="S64" s="155"/>
      <c r="T64" s="155"/>
      <c r="U64" s="155"/>
      <c r="V64" s="155"/>
    </row>
    <row r="65" spans="1:22">
      <c r="A65" s="155"/>
      <c r="B65" s="155"/>
      <c r="C65" s="155"/>
      <c r="D65" s="155"/>
      <c r="E65" s="155"/>
      <c r="F65" s="155"/>
      <c r="G65" s="155"/>
      <c r="H65" s="155"/>
      <c r="I65" s="155"/>
      <c r="J65" s="155"/>
      <c r="K65" s="155"/>
      <c r="L65" s="155"/>
      <c r="M65" s="155"/>
      <c r="N65" s="155"/>
      <c r="O65" s="155"/>
      <c r="P65" s="155"/>
      <c r="Q65" s="155"/>
      <c r="R65" s="155"/>
      <c r="S65" s="155"/>
      <c r="T65" s="155"/>
      <c r="U65" s="155"/>
      <c r="V65" s="155"/>
    </row>
    <row r="66" spans="1:22">
      <c r="A66" s="155"/>
      <c r="B66" s="155"/>
      <c r="C66" s="155"/>
      <c r="D66" s="155"/>
      <c r="E66" s="155"/>
      <c r="F66" s="155"/>
      <c r="G66" s="155"/>
      <c r="H66" s="155"/>
      <c r="I66" s="155"/>
      <c r="J66" s="155"/>
      <c r="K66" s="155"/>
      <c r="L66" s="155"/>
      <c r="M66" s="155"/>
      <c r="N66" s="155"/>
      <c r="O66" s="155"/>
      <c r="P66" s="155"/>
      <c r="Q66" s="155"/>
      <c r="R66" s="155"/>
      <c r="S66" s="155"/>
      <c r="T66" s="155"/>
      <c r="U66" s="155"/>
      <c r="V66" s="155"/>
    </row>
    <row r="67" spans="1:22">
      <c r="A67" s="155"/>
      <c r="B67" s="155"/>
      <c r="C67" s="155"/>
      <c r="D67" s="155"/>
      <c r="E67" s="155"/>
      <c r="F67" s="155"/>
      <c r="G67" s="155"/>
      <c r="H67" s="155"/>
      <c r="I67" s="155"/>
      <c r="J67" s="155"/>
      <c r="K67" s="155"/>
      <c r="L67" s="155"/>
      <c r="M67" s="155"/>
      <c r="N67" s="155"/>
      <c r="O67" s="155"/>
      <c r="P67" s="155"/>
      <c r="Q67" s="155"/>
      <c r="R67" s="155"/>
      <c r="S67" s="155"/>
      <c r="T67" s="155"/>
      <c r="U67" s="155"/>
      <c r="V67" s="155"/>
    </row>
    <row r="68" spans="1:22">
      <c r="A68" s="155"/>
      <c r="B68" s="155"/>
      <c r="C68" s="155"/>
      <c r="D68" s="155"/>
      <c r="E68" s="155"/>
      <c r="F68" s="155"/>
      <c r="G68" s="155"/>
      <c r="H68" s="155"/>
      <c r="I68" s="155"/>
      <c r="J68" s="155"/>
      <c r="K68" s="155"/>
      <c r="L68" s="155"/>
      <c r="M68" s="155"/>
      <c r="N68" s="155"/>
      <c r="O68" s="155"/>
      <c r="P68" s="155"/>
      <c r="Q68" s="155"/>
      <c r="R68" s="155"/>
      <c r="S68" s="155"/>
      <c r="T68" s="155"/>
      <c r="U68" s="155"/>
      <c r="V68" s="155"/>
    </row>
    <row r="69" spans="1:22">
      <c r="A69" s="155"/>
      <c r="B69" s="155"/>
      <c r="C69" s="155"/>
      <c r="D69" s="155"/>
      <c r="E69" s="155"/>
      <c r="F69" s="155"/>
      <c r="G69" s="155"/>
      <c r="H69" s="155"/>
      <c r="I69" s="155"/>
      <c r="J69" s="155"/>
      <c r="K69" s="155"/>
      <c r="L69" s="155"/>
      <c r="M69" s="155"/>
      <c r="N69" s="155"/>
      <c r="O69" s="155"/>
      <c r="P69" s="155"/>
      <c r="Q69" s="155"/>
      <c r="R69" s="155"/>
      <c r="S69" s="155"/>
      <c r="T69" s="155"/>
      <c r="U69" s="155"/>
      <c r="V69" s="155"/>
    </row>
    <row r="70" spans="1:22">
      <c r="A70" s="155"/>
      <c r="B70" s="155"/>
      <c r="C70" s="155"/>
      <c r="D70" s="155"/>
      <c r="E70" s="155"/>
      <c r="F70" s="155"/>
      <c r="G70" s="155"/>
      <c r="H70" s="155"/>
      <c r="I70" s="155"/>
      <c r="J70" s="155"/>
      <c r="K70" s="155"/>
      <c r="L70" s="155"/>
      <c r="M70" s="155"/>
      <c r="N70" s="155"/>
      <c r="O70" s="155"/>
      <c r="P70" s="155"/>
      <c r="Q70" s="155"/>
      <c r="R70" s="155"/>
      <c r="S70" s="155"/>
      <c r="T70" s="155"/>
      <c r="U70" s="155"/>
      <c r="V70" s="155"/>
    </row>
    <row r="71" spans="1:22">
      <c r="A71" s="155"/>
      <c r="B71" s="155"/>
      <c r="C71" s="155"/>
      <c r="D71" s="155"/>
      <c r="E71" s="155"/>
      <c r="F71" s="155"/>
      <c r="G71" s="155"/>
      <c r="H71" s="155"/>
      <c r="I71" s="155"/>
      <c r="J71" s="155"/>
      <c r="K71" s="155"/>
      <c r="L71" s="155"/>
      <c r="M71" s="155"/>
      <c r="N71" s="155"/>
      <c r="O71" s="155"/>
      <c r="P71" s="155"/>
      <c r="Q71" s="155"/>
      <c r="R71" s="155"/>
      <c r="S71" s="155"/>
      <c r="T71" s="155"/>
      <c r="U71" s="155"/>
      <c r="V71" s="155"/>
    </row>
    <row r="72" spans="1:22">
      <c r="A72" s="155"/>
      <c r="B72" s="155"/>
      <c r="C72" s="155"/>
      <c r="D72" s="155"/>
      <c r="E72" s="155"/>
      <c r="F72" s="155"/>
      <c r="G72" s="155"/>
      <c r="H72" s="155"/>
      <c r="I72" s="155"/>
      <c r="J72" s="155"/>
      <c r="K72" s="155"/>
      <c r="L72" s="155"/>
      <c r="M72" s="155"/>
      <c r="N72" s="155"/>
      <c r="O72" s="155"/>
      <c r="P72" s="155"/>
      <c r="Q72" s="155"/>
      <c r="R72" s="155"/>
      <c r="S72" s="155"/>
      <c r="T72" s="155"/>
      <c r="U72" s="155"/>
      <c r="V72" s="155"/>
    </row>
    <row r="73" spans="1:22">
      <c r="A73" s="155"/>
      <c r="B73" s="155"/>
      <c r="C73" s="155"/>
      <c r="D73" s="155"/>
      <c r="E73" s="155"/>
      <c r="F73" s="155"/>
      <c r="G73" s="155"/>
      <c r="H73" s="155"/>
      <c r="I73" s="155"/>
      <c r="J73" s="155"/>
      <c r="K73" s="155"/>
      <c r="L73" s="155"/>
      <c r="M73" s="155"/>
      <c r="N73" s="155"/>
      <c r="O73" s="155"/>
      <c r="P73" s="155"/>
      <c r="Q73" s="155"/>
      <c r="R73" s="155"/>
      <c r="S73" s="155"/>
      <c r="T73" s="155"/>
      <c r="U73" s="155"/>
      <c r="V73" s="155"/>
    </row>
    <row r="74" spans="1:22">
      <c r="A74" s="155"/>
      <c r="B74" s="155"/>
      <c r="C74" s="155"/>
      <c r="D74" s="155"/>
      <c r="E74" s="155"/>
      <c r="F74" s="155"/>
      <c r="G74" s="155"/>
      <c r="H74" s="155"/>
      <c r="I74" s="155"/>
      <c r="J74" s="155"/>
      <c r="K74" s="155"/>
      <c r="L74" s="155"/>
      <c r="M74" s="155"/>
      <c r="N74" s="155"/>
      <c r="O74" s="155"/>
      <c r="P74" s="155"/>
      <c r="Q74" s="155"/>
      <c r="R74" s="155"/>
      <c r="S74" s="155"/>
      <c r="T74" s="155"/>
      <c r="U74" s="155"/>
      <c r="V74" s="155"/>
    </row>
    <row r="75" spans="1:22">
      <c r="A75" s="155"/>
      <c r="B75" s="155"/>
      <c r="C75" s="155"/>
      <c r="D75" s="155"/>
      <c r="E75" s="155"/>
      <c r="F75" s="155"/>
      <c r="G75" s="155"/>
      <c r="H75" s="155"/>
      <c r="I75" s="155"/>
      <c r="J75" s="155"/>
      <c r="K75" s="155"/>
      <c r="L75" s="155"/>
      <c r="M75" s="155"/>
      <c r="N75" s="155"/>
      <c r="O75" s="155"/>
      <c r="P75" s="155"/>
      <c r="Q75" s="155"/>
      <c r="R75" s="155"/>
      <c r="S75" s="155"/>
      <c r="T75" s="155"/>
      <c r="U75" s="155"/>
      <c r="V75" s="155"/>
    </row>
    <row r="76" spans="1:22">
      <c r="A76" s="155"/>
      <c r="B76" s="155"/>
      <c r="C76" s="155"/>
      <c r="D76" s="155"/>
      <c r="E76" s="155"/>
      <c r="F76" s="155"/>
      <c r="G76" s="155"/>
      <c r="H76" s="155"/>
      <c r="I76" s="155"/>
      <c r="J76" s="155"/>
      <c r="K76" s="155"/>
      <c r="L76" s="155"/>
      <c r="M76" s="155"/>
      <c r="N76" s="155"/>
      <c r="O76" s="155"/>
      <c r="P76" s="155"/>
      <c r="Q76" s="155"/>
      <c r="R76" s="155"/>
      <c r="S76" s="155"/>
      <c r="T76" s="155"/>
      <c r="U76" s="155"/>
      <c r="V76" s="155"/>
    </row>
    <row r="77" spans="1:22">
      <c r="A77" s="155"/>
      <c r="B77" s="155"/>
      <c r="C77" s="155"/>
      <c r="D77" s="155"/>
      <c r="E77" s="155"/>
      <c r="F77" s="155"/>
      <c r="G77" s="155"/>
      <c r="H77" s="155"/>
      <c r="I77" s="155"/>
      <c r="J77" s="155"/>
      <c r="K77" s="155"/>
      <c r="L77" s="155"/>
      <c r="M77" s="155"/>
      <c r="N77" s="155"/>
      <c r="O77" s="155"/>
      <c r="P77" s="155"/>
      <c r="Q77" s="155"/>
      <c r="R77" s="155"/>
      <c r="S77" s="155"/>
      <c r="T77" s="155"/>
      <c r="U77" s="155"/>
      <c r="V77" s="155"/>
    </row>
    <row r="78" spans="1:22">
      <c r="A78" s="155"/>
      <c r="B78" s="155"/>
      <c r="C78" s="155"/>
      <c r="D78" s="155"/>
      <c r="E78" s="155"/>
      <c r="F78" s="155"/>
      <c r="G78" s="155"/>
      <c r="H78" s="155"/>
      <c r="I78" s="155"/>
      <c r="J78" s="155"/>
      <c r="K78" s="155"/>
      <c r="L78" s="155"/>
      <c r="M78" s="155"/>
      <c r="N78" s="155"/>
      <c r="O78" s="155"/>
      <c r="P78" s="155"/>
      <c r="Q78" s="155"/>
      <c r="R78" s="155"/>
      <c r="S78" s="155"/>
      <c r="T78" s="155"/>
      <c r="U78" s="155"/>
      <c r="V78" s="155"/>
    </row>
    <row r="79" spans="1:22">
      <c r="A79" s="155"/>
      <c r="B79" s="155"/>
      <c r="C79" s="155"/>
      <c r="D79" s="155"/>
      <c r="E79" s="155"/>
      <c r="F79" s="155"/>
      <c r="G79" s="155"/>
      <c r="H79" s="155"/>
      <c r="I79" s="155"/>
      <c r="J79" s="155"/>
      <c r="K79" s="155"/>
      <c r="L79" s="155"/>
      <c r="M79" s="155"/>
      <c r="N79" s="155"/>
      <c r="O79" s="155"/>
      <c r="P79" s="155"/>
      <c r="Q79" s="155"/>
      <c r="R79" s="155"/>
      <c r="S79" s="155"/>
      <c r="T79" s="155"/>
      <c r="U79" s="155"/>
      <c r="V79" s="155"/>
    </row>
    <row r="80" spans="1:22">
      <c r="A80" s="155"/>
      <c r="B80" s="155"/>
      <c r="C80" s="155"/>
      <c r="D80" s="155"/>
      <c r="E80" s="155"/>
      <c r="F80" s="155"/>
      <c r="G80" s="155"/>
      <c r="H80" s="155"/>
      <c r="I80" s="155"/>
      <c r="J80" s="155"/>
      <c r="K80" s="155"/>
      <c r="L80" s="155"/>
      <c r="M80" s="155"/>
      <c r="N80" s="155"/>
      <c r="O80" s="155"/>
      <c r="P80" s="155"/>
      <c r="Q80" s="155"/>
      <c r="R80" s="155"/>
      <c r="S80" s="155"/>
      <c r="T80" s="155"/>
      <c r="U80" s="155"/>
      <c r="V80" s="155"/>
    </row>
    <row r="81" spans="1:22">
      <c r="A81" s="155"/>
      <c r="B81" s="155"/>
      <c r="C81" s="155"/>
      <c r="D81" s="155"/>
      <c r="E81" s="155"/>
      <c r="F81" s="155"/>
      <c r="G81" s="155"/>
      <c r="H81" s="155"/>
      <c r="I81" s="155"/>
      <c r="J81" s="155"/>
      <c r="K81" s="155"/>
      <c r="L81" s="155"/>
      <c r="M81" s="155"/>
      <c r="N81" s="155"/>
      <c r="O81" s="155"/>
      <c r="P81" s="155"/>
      <c r="Q81" s="155"/>
      <c r="R81" s="155"/>
      <c r="S81" s="155"/>
      <c r="T81" s="155"/>
      <c r="U81" s="155"/>
      <c r="V81" s="155"/>
    </row>
    <row r="82" spans="1:22">
      <c r="A82" s="155"/>
      <c r="B82" s="155"/>
      <c r="C82" s="155"/>
      <c r="D82" s="155"/>
      <c r="E82" s="155"/>
      <c r="F82" s="155"/>
      <c r="G82" s="155"/>
      <c r="H82" s="155"/>
      <c r="I82" s="155"/>
      <c r="J82" s="155"/>
      <c r="K82" s="155"/>
      <c r="L82" s="155"/>
      <c r="M82" s="155"/>
      <c r="N82" s="155"/>
      <c r="O82" s="155"/>
      <c r="P82" s="155"/>
      <c r="Q82" s="155"/>
      <c r="R82" s="155"/>
      <c r="S82" s="155"/>
      <c r="T82" s="155"/>
      <c r="U82" s="155"/>
      <c r="V82" s="155"/>
    </row>
    <row r="83" spans="1:22">
      <c r="A83" s="155"/>
      <c r="B83" s="155"/>
      <c r="C83" s="155"/>
      <c r="D83" s="155"/>
      <c r="E83" s="155"/>
      <c r="F83" s="155"/>
      <c r="G83" s="155"/>
      <c r="H83" s="155"/>
      <c r="I83" s="155"/>
      <c r="J83" s="155"/>
      <c r="K83" s="155"/>
      <c r="L83" s="155"/>
      <c r="M83" s="155"/>
      <c r="N83" s="155"/>
      <c r="O83" s="155"/>
      <c r="P83" s="155"/>
      <c r="Q83" s="155"/>
      <c r="R83" s="155"/>
      <c r="S83" s="155"/>
      <c r="T83" s="155"/>
      <c r="U83" s="155"/>
      <c r="V83" s="155"/>
    </row>
    <row r="84" spans="1:22">
      <c r="A84" s="155"/>
      <c r="B84" s="155"/>
      <c r="C84" s="155"/>
      <c r="D84" s="155"/>
      <c r="E84" s="155"/>
      <c r="F84" s="155"/>
      <c r="G84" s="155"/>
      <c r="H84" s="155"/>
      <c r="I84" s="155"/>
      <c r="J84" s="155"/>
      <c r="K84" s="155"/>
      <c r="L84" s="155"/>
      <c r="M84" s="155"/>
      <c r="N84" s="155"/>
      <c r="O84" s="155"/>
      <c r="P84" s="155"/>
      <c r="Q84" s="155"/>
      <c r="R84" s="155"/>
      <c r="S84" s="155"/>
      <c r="T84" s="155"/>
      <c r="U84" s="155"/>
      <c r="V84" s="155"/>
    </row>
    <row r="85" spans="1:22">
      <c r="A85" s="155"/>
      <c r="B85" s="155"/>
      <c r="C85" s="155"/>
      <c r="D85" s="155"/>
      <c r="E85" s="155"/>
      <c r="F85" s="155"/>
      <c r="G85" s="155"/>
      <c r="H85" s="155"/>
      <c r="I85" s="155"/>
      <c r="J85" s="155"/>
      <c r="K85" s="155"/>
      <c r="L85" s="155"/>
      <c r="M85" s="155"/>
      <c r="N85" s="155"/>
      <c r="O85" s="155"/>
      <c r="P85" s="155"/>
      <c r="Q85" s="155"/>
      <c r="R85" s="155"/>
      <c r="S85" s="155"/>
      <c r="T85" s="155"/>
      <c r="U85" s="155"/>
      <c r="V85" s="155"/>
    </row>
    <row r="86" spans="1:22">
      <c r="A86" s="155"/>
      <c r="B86" s="155"/>
      <c r="C86" s="155"/>
      <c r="D86" s="155"/>
      <c r="E86" s="155"/>
      <c r="F86" s="155"/>
      <c r="G86" s="155"/>
      <c r="H86" s="155"/>
      <c r="I86" s="155"/>
      <c r="J86" s="155"/>
      <c r="K86" s="155"/>
      <c r="L86" s="155"/>
      <c r="M86" s="155"/>
      <c r="N86" s="155"/>
      <c r="O86" s="155"/>
      <c r="P86" s="155"/>
      <c r="Q86" s="155"/>
      <c r="R86" s="155"/>
      <c r="S86" s="155"/>
      <c r="T86" s="155"/>
      <c r="U86" s="155"/>
      <c r="V86" s="155"/>
    </row>
    <row r="87" spans="1:22">
      <c r="A87" s="155"/>
      <c r="B87" s="155"/>
      <c r="C87" s="155"/>
      <c r="D87" s="155"/>
      <c r="E87" s="155"/>
      <c r="F87" s="155"/>
      <c r="G87" s="155"/>
      <c r="H87" s="155"/>
      <c r="I87" s="155"/>
      <c r="J87" s="155"/>
      <c r="K87" s="155"/>
      <c r="L87" s="155"/>
      <c r="M87" s="155"/>
      <c r="N87" s="155"/>
      <c r="O87" s="155"/>
      <c r="P87" s="155"/>
      <c r="Q87" s="155"/>
      <c r="R87" s="155"/>
      <c r="S87" s="155"/>
      <c r="T87" s="155"/>
      <c r="U87" s="155"/>
      <c r="V87" s="155"/>
    </row>
    <row r="88" spans="1:22">
      <c r="A88" s="155"/>
      <c r="B88" s="155"/>
      <c r="C88" s="155"/>
      <c r="D88" s="155"/>
      <c r="E88" s="155"/>
      <c r="F88" s="155"/>
      <c r="G88" s="155"/>
      <c r="H88" s="155"/>
      <c r="I88" s="155"/>
      <c r="J88" s="155"/>
      <c r="K88" s="155"/>
      <c r="L88" s="155"/>
      <c r="M88" s="155"/>
      <c r="N88" s="155"/>
      <c r="O88" s="155"/>
      <c r="P88" s="155"/>
      <c r="Q88" s="155"/>
      <c r="R88" s="155"/>
      <c r="S88" s="155"/>
      <c r="T88" s="155"/>
      <c r="U88" s="155"/>
      <c r="V88" s="155"/>
    </row>
    <row r="89" spans="1:22">
      <c r="A89" s="155"/>
      <c r="B89" s="155"/>
      <c r="C89" s="155"/>
      <c r="D89" s="155"/>
      <c r="E89" s="155"/>
      <c r="F89" s="155"/>
      <c r="G89" s="155"/>
      <c r="H89" s="155"/>
      <c r="I89" s="155"/>
      <c r="J89" s="155"/>
      <c r="K89" s="155"/>
      <c r="L89" s="155"/>
      <c r="M89" s="155"/>
      <c r="N89" s="155"/>
      <c r="O89" s="155"/>
      <c r="P89" s="155"/>
      <c r="Q89" s="155"/>
      <c r="R89" s="155"/>
      <c r="S89" s="155"/>
      <c r="T89" s="155"/>
      <c r="U89" s="155"/>
      <c r="V89" s="155"/>
    </row>
  </sheetData>
  <sheetProtection algorithmName="SHA-512" hashValue="nNz/tj7ae4C1OLP/RN/gdfI+sRtuW0VmZ/RtglIufXpGz8wTQ8xn6SE3trCTgHKzGHPziMy2oWfMW/rizgvDew==" saltValue="YUS8x/h4s1nwtNdKW2lHHw==" spinCount="100000" sheet="1" objects="1" scenarios="1"/>
  <mergeCells count="14">
    <mergeCell ref="B20:D20"/>
    <mergeCell ref="B21:P21"/>
    <mergeCell ref="F9:Q9"/>
    <mergeCell ref="B9:D9"/>
    <mergeCell ref="B17:D17"/>
    <mergeCell ref="B13:D13"/>
    <mergeCell ref="F17:Q17"/>
    <mergeCell ref="B15:D15"/>
    <mergeCell ref="F15:Q15"/>
    <mergeCell ref="A1:U3"/>
    <mergeCell ref="B7:D7"/>
    <mergeCell ref="F7:Q7"/>
    <mergeCell ref="F13:Q13"/>
    <mergeCell ref="A4:AE4"/>
  </mergeCells>
  <phoneticPr fontId="21"/>
  <hyperlinks>
    <hyperlink ref="B13" location="'PGA1 Input Range'!A1" display="PGA1 Input Range" xr:uid="{00000000-0004-0000-0000-000000000000}"/>
    <hyperlink ref="B17" location="About!A1" display="About" xr:uid="{00000000-0004-0000-0000-000001000000}"/>
    <hyperlink ref="B9" location="'PGA1 Input Range'!A1" display="PGA1 Input Range" xr:uid="{00000000-0004-0000-0000-000002000000}"/>
    <hyperlink ref="B17:D17" location="License!A1" display="License" xr:uid="{00000000-0004-0000-0000-000003000000}"/>
    <hyperlink ref="B9:D9" location="Help!R5" display="Help" xr:uid="{00000000-0004-0000-0000-000004000000}"/>
    <hyperlink ref="B13:D13" location="'Voltage Sensing Calculator'!A1" display="Voltage Sensing Calculator" xr:uid="{00000000-0004-0000-0000-000005000000}"/>
    <hyperlink ref="B15:D15" location="'Device Comparison'!O5" display="Device Comparison" xr:uid="{00000000-0004-0000-0000-000006000000}"/>
    <hyperlink ref="B11" location="Directions!A1" display="Directions" xr:uid="{5C89EAC3-EE15-48FD-95C7-BE9DC89CBFFD}"/>
  </hyperlinks>
  <pageMargins left="0.7" right="0.7" top="0.75" bottom="0.75" header="0.3" footer="0.3"/>
  <pageSetup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5"/>
  <dimension ref="A1:AE64"/>
  <sheetViews>
    <sheetView showGridLines="0" showRowColHeaders="0" zoomScaleNormal="100" workbookViewId="0">
      <selection activeCell="G21" sqref="G21"/>
    </sheetView>
  </sheetViews>
  <sheetFormatPr defaultColWidth="8.73046875" defaultRowHeight="14.25"/>
  <cols>
    <col min="1" max="2" width="8.73046875" style="153"/>
    <col min="3" max="3" width="14.73046875" style="153" bestFit="1" customWidth="1"/>
    <col min="4" max="4" width="19.3984375" style="153" bestFit="1" customWidth="1"/>
    <col min="5" max="5" width="20.59765625" style="153" bestFit="1" customWidth="1"/>
    <col min="6" max="6" width="15.265625" style="153" bestFit="1" customWidth="1"/>
    <col min="7" max="7" width="16.73046875" style="153" bestFit="1" customWidth="1"/>
    <col min="8" max="8" width="16.73046875" style="153" customWidth="1"/>
    <col min="9" max="9" width="15" style="153" bestFit="1" customWidth="1"/>
    <col min="10" max="12" width="8.73046875" style="153"/>
    <col min="13" max="13" width="12.73046875" style="153" customWidth="1"/>
    <col min="14" max="14" width="6.265625" style="153" customWidth="1"/>
    <col min="15" max="18" width="8.73046875" style="153"/>
    <col min="19" max="19" width="18.86328125" style="153" customWidth="1"/>
    <col min="20" max="16384" width="8.73046875" style="153"/>
  </cols>
  <sheetData>
    <row r="1" spans="1:31" ht="15" customHeight="1">
      <c r="A1" s="519"/>
      <c r="B1" s="519"/>
      <c r="C1" s="519"/>
      <c r="D1" s="519"/>
      <c r="E1" s="519"/>
      <c r="F1" s="519"/>
      <c r="G1" s="519"/>
      <c r="H1" s="519"/>
      <c r="I1" s="519"/>
      <c r="J1" s="519"/>
      <c r="K1" s="519"/>
      <c r="L1" s="519"/>
      <c r="M1" s="519"/>
      <c r="N1" s="519"/>
      <c r="O1" s="519"/>
      <c r="P1" s="519"/>
      <c r="Q1" s="519"/>
      <c r="R1" s="519"/>
      <c r="S1" s="519"/>
    </row>
    <row r="2" spans="1:31" ht="15" customHeight="1">
      <c r="A2" s="519"/>
      <c r="B2" s="519"/>
      <c r="C2" s="519"/>
      <c r="D2" s="519"/>
      <c r="E2" s="519"/>
      <c r="F2" s="519"/>
      <c r="G2" s="519"/>
      <c r="H2" s="519"/>
      <c r="I2" s="519"/>
      <c r="J2" s="519"/>
      <c r="K2" s="519"/>
      <c r="L2" s="519"/>
      <c r="M2" s="519"/>
      <c r="N2" s="519"/>
      <c r="O2" s="519"/>
      <c r="P2" s="519"/>
      <c r="Q2" s="519"/>
      <c r="R2" s="519"/>
      <c r="S2" s="519"/>
    </row>
    <row r="3" spans="1:31" ht="15" customHeight="1">
      <c r="A3" s="519"/>
      <c r="B3" s="519"/>
      <c r="C3" s="519"/>
      <c r="D3" s="519"/>
      <c r="E3" s="519"/>
      <c r="F3" s="519"/>
      <c r="G3" s="519"/>
      <c r="H3" s="519"/>
      <c r="I3" s="519"/>
      <c r="J3" s="519"/>
      <c r="K3" s="519"/>
      <c r="L3" s="519"/>
      <c r="M3" s="519"/>
      <c r="N3" s="519"/>
      <c r="O3" s="519"/>
      <c r="P3" s="519"/>
      <c r="Q3" s="519"/>
      <c r="R3" s="519"/>
      <c r="S3" s="519"/>
    </row>
    <row r="4" spans="1:31" s="269" customFormat="1" ht="15" customHeight="1">
      <c r="A4" s="531"/>
      <c r="B4" s="531"/>
      <c r="C4" s="531"/>
      <c r="D4" s="531"/>
      <c r="E4" s="531"/>
      <c r="F4" s="531"/>
      <c r="G4" s="531"/>
      <c r="H4" s="531"/>
      <c r="I4" s="531"/>
      <c r="J4" s="531"/>
      <c r="K4" s="531"/>
      <c r="L4" s="531"/>
      <c r="M4" s="531"/>
      <c r="N4" s="531"/>
      <c r="O4" s="531"/>
      <c r="P4" s="531"/>
      <c r="Q4" s="531"/>
      <c r="R4" s="531"/>
      <c r="S4" s="531"/>
      <c r="T4" s="531"/>
      <c r="U4" s="531"/>
      <c r="V4" s="531"/>
      <c r="W4" s="531"/>
      <c r="X4" s="531"/>
      <c r="Y4" s="531"/>
      <c r="Z4" s="531"/>
      <c r="AA4" s="531"/>
      <c r="AB4" s="531"/>
      <c r="AC4" s="531"/>
      <c r="AD4" s="531"/>
      <c r="AE4" s="531"/>
    </row>
    <row r="5" spans="1:31" s="269" customFormat="1" ht="15" customHeight="1">
      <c r="A5" s="270" t="s">
        <v>446</v>
      </c>
      <c r="B5" s="271"/>
      <c r="C5" s="271"/>
      <c r="D5" s="271"/>
      <c r="E5" s="271"/>
      <c r="F5" s="271"/>
      <c r="G5" s="271"/>
      <c r="H5" s="271"/>
      <c r="I5" s="271"/>
      <c r="J5" s="271"/>
      <c r="K5" s="271"/>
      <c r="L5" s="271"/>
      <c r="M5" s="271"/>
      <c r="N5" s="271"/>
      <c r="O5" s="271"/>
      <c r="R5" s="287" t="s">
        <v>8</v>
      </c>
      <c r="T5" s="272"/>
    </row>
    <row r="6" spans="1:31" s="269" customFormat="1" ht="15" customHeight="1">
      <c r="A6" s="272"/>
      <c r="B6" s="272"/>
      <c r="C6" s="272"/>
      <c r="D6" s="272"/>
      <c r="E6" s="272"/>
      <c r="F6" s="272"/>
      <c r="G6" s="272"/>
      <c r="H6" s="272"/>
      <c r="I6" s="272"/>
      <c r="J6" s="272"/>
      <c r="K6" s="272"/>
      <c r="L6" s="272"/>
      <c r="M6" s="272"/>
      <c r="N6" s="272"/>
      <c r="O6" s="272"/>
      <c r="P6" s="272"/>
      <c r="Q6" s="272"/>
      <c r="R6" s="272"/>
      <c r="S6" s="272"/>
      <c r="T6" s="272"/>
    </row>
    <row r="7" spans="1:31" s="269" customFormat="1" ht="15" customHeight="1">
      <c r="A7" s="273"/>
      <c r="B7" s="528" t="s">
        <v>154</v>
      </c>
      <c r="C7" s="528"/>
      <c r="D7" s="528"/>
      <c r="E7" s="528"/>
      <c r="F7" s="528"/>
      <c r="G7" s="528"/>
      <c r="H7" s="528"/>
      <c r="I7" s="528"/>
      <c r="J7" s="274"/>
      <c r="K7" s="274"/>
      <c r="L7" s="274"/>
      <c r="M7" s="274"/>
      <c r="N7" s="274"/>
      <c r="O7" s="274"/>
      <c r="P7" s="274"/>
      <c r="Q7" s="274"/>
      <c r="R7" s="274"/>
      <c r="S7" s="274"/>
      <c r="T7" s="272"/>
    </row>
    <row r="8" spans="1:31" s="269" customFormat="1" ht="15" customHeight="1">
      <c r="A8" s="272"/>
      <c r="B8" s="272"/>
      <c r="C8" s="272"/>
      <c r="D8" s="272"/>
      <c r="E8" s="272"/>
      <c r="F8" s="272"/>
      <c r="G8" s="272"/>
      <c r="H8" s="272"/>
      <c r="I8" s="272"/>
      <c r="J8" s="272"/>
      <c r="K8" s="272"/>
      <c r="L8" s="272"/>
      <c r="M8" s="272"/>
      <c r="N8" s="272"/>
      <c r="O8" s="272"/>
      <c r="P8" s="272"/>
      <c r="Q8" s="272"/>
      <c r="R8" s="272"/>
      <c r="S8" s="272"/>
      <c r="T8" s="272"/>
    </row>
    <row r="9" spans="1:31" s="269" customFormat="1" ht="15" customHeight="1">
      <c r="A9" s="272"/>
      <c r="B9" s="272" t="s">
        <v>155</v>
      </c>
      <c r="C9" s="272"/>
      <c r="D9" s="272"/>
      <c r="E9" s="272"/>
      <c r="F9" s="272"/>
      <c r="G9" s="272"/>
      <c r="H9" s="272"/>
      <c r="I9" s="294" t="s">
        <v>448</v>
      </c>
      <c r="J9" s="273"/>
      <c r="K9" s="272"/>
      <c r="L9" s="272"/>
      <c r="M9" s="272"/>
      <c r="N9" s="272"/>
      <c r="O9" s="273"/>
      <c r="P9" s="272"/>
      <c r="Q9" s="272"/>
      <c r="R9" s="272"/>
      <c r="S9" s="272"/>
      <c r="T9" s="272"/>
    </row>
    <row r="10" spans="1:31" s="269" customFormat="1" ht="15" customHeight="1">
      <c r="A10" s="272"/>
      <c r="B10" s="272"/>
      <c r="C10" s="272"/>
      <c r="D10" s="272"/>
      <c r="E10" s="272"/>
      <c r="F10" s="272"/>
      <c r="G10" s="272"/>
      <c r="H10" s="272"/>
      <c r="I10" s="272"/>
      <c r="J10" s="272"/>
      <c r="K10" s="272"/>
      <c r="L10" s="272"/>
      <c r="M10" s="272"/>
      <c r="N10" s="272"/>
      <c r="O10" s="272"/>
      <c r="P10" s="272"/>
      <c r="Q10" s="272"/>
      <c r="R10" s="272"/>
      <c r="S10" s="272"/>
      <c r="T10" s="272"/>
    </row>
    <row r="11" spans="1:31" s="269" customFormat="1" ht="15" customHeight="1">
      <c r="A11" s="272"/>
      <c r="B11" s="272" t="s">
        <v>151</v>
      </c>
      <c r="C11" s="272"/>
      <c r="D11" s="272"/>
      <c r="E11" s="272"/>
      <c r="F11" s="272"/>
      <c r="G11" s="272"/>
      <c r="H11" s="272"/>
      <c r="I11" s="272"/>
      <c r="J11" s="272"/>
      <c r="K11" s="272"/>
      <c r="L11" s="272"/>
      <c r="M11" s="272"/>
      <c r="N11" s="272"/>
      <c r="O11" s="272"/>
      <c r="P11" s="272"/>
      <c r="Q11" s="272"/>
      <c r="R11" s="272"/>
      <c r="S11" s="272"/>
      <c r="T11" s="272"/>
    </row>
    <row r="12" spans="1:31" s="269" customFormat="1" ht="15" customHeight="1" thickBot="1">
      <c r="A12" s="272"/>
      <c r="B12" s="272"/>
      <c r="C12" s="530"/>
      <c r="D12" s="530"/>
      <c r="E12" s="271"/>
      <c r="F12" s="275"/>
      <c r="G12" s="275"/>
      <c r="H12" s="275"/>
      <c r="I12" s="275"/>
      <c r="J12" s="275"/>
      <c r="K12" s="272"/>
      <c r="L12" s="272"/>
      <c r="M12" s="272"/>
      <c r="N12" s="272"/>
      <c r="O12" s="272"/>
      <c r="P12" s="272"/>
      <c r="Q12" s="272"/>
      <c r="R12" s="272"/>
      <c r="S12" s="272"/>
      <c r="T12" s="272"/>
    </row>
    <row r="13" spans="1:31" s="269" customFormat="1" ht="15" customHeight="1" thickBot="1">
      <c r="A13" s="273"/>
      <c r="B13" s="273"/>
      <c r="C13" s="276" t="s">
        <v>220</v>
      </c>
      <c r="D13" s="276" t="s">
        <v>221</v>
      </c>
      <c r="E13" s="276" t="s">
        <v>222</v>
      </c>
      <c r="F13" s="276" t="s">
        <v>223</v>
      </c>
      <c r="G13" s="276" t="s">
        <v>224</v>
      </c>
      <c r="H13" s="276" t="s">
        <v>268</v>
      </c>
      <c r="I13" s="276" t="s">
        <v>225</v>
      </c>
      <c r="J13" s="525" t="s">
        <v>226</v>
      </c>
      <c r="K13" s="526"/>
      <c r="L13" s="526"/>
      <c r="M13" s="527"/>
      <c r="N13" s="273"/>
      <c r="O13" s="273"/>
      <c r="P13" s="273"/>
      <c r="Q13" s="273"/>
      <c r="R13" s="273"/>
      <c r="S13" s="273"/>
    </row>
    <row r="14" spans="1:31" s="269" customFormat="1" ht="15" customHeight="1">
      <c r="A14" s="273"/>
      <c r="B14" s="273"/>
      <c r="C14" s="465" t="s">
        <v>452</v>
      </c>
      <c r="D14" s="443" t="s">
        <v>252</v>
      </c>
      <c r="E14" s="443" t="s">
        <v>464</v>
      </c>
      <c r="F14" s="443" t="s">
        <v>230</v>
      </c>
      <c r="G14" s="443"/>
      <c r="H14" s="443"/>
      <c r="I14" s="444"/>
      <c r="J14" s="545" t="s">
        <v>466</v>
      </c>
      <c r="K14" s="546"/>
      <c r="L14" s="546"/>
      <c r="M14" s="547"/>
      <c r="N14" s="273"/>
      <c r="O14" s="273"/>
      <c r="P14" s="273"/>
      <c r="Q14" s="273"/>
      <c r="R14" s="273"/>
      <c r="S14" s="273"/>
    </row>
    <row r="15" spans="1:31" s="269" customFormat="1" ht="15" customHeight="1">
      <c r="A15" s="273"/>
      <c r="B15" s="273"/>
      <c r="C15" s="466" t="s">
        <v>453</v>
      </c>
      <c r="D15" s="443" t="s">
        <v>252</v>
      </c>
      <c r="E15" s="443" t="s">
        <v>464</v>
      </c>
      <c r="F15" s="443" t="s">
        <v>230</v>
      </c>
      <c r="G15" s="445"/>
      <c r="H15" s="445" t="s">
        <v>231</v>
      </c>
      <c r="I15" s="446"/>
      <c r="J15" s="468" t="s">
        <v>467</v>
      </c>
      <c r="K15" s="461"/>
      <c r="L15" s="461"/>
      <c r="M15" s="462"/>
      <c r="N15" s="273"/>
      <c r="O15" s="273"/>
      <c r="P15" s="273"/>
      <c r="Q15" s="273"/>
      <c r="R15" s="273"/>
      <c r="S15" s="273"/>
    </row>
    <row r="16" spans="1:31" s="269" customFormat="1" ht="27.95" customHeight="1">
      <c r="A16" s="273"/>
      <c r="B16" s="273"/>
      <c r="C16" s="467" t="s">
        <v>454</v>
      </c>
      <c r="D16" s="443" t="s">
        <v>252</v>
      </c>
      <c r="E16" s="445" t="s">
        <v>465</v>
      </c>
      <c r="F16" s="443" t="s">
        <v>230</v>
      </c>
      <c r="G16" s="445"/>
      <c r="H16" s="445" t="s">
        <v>231</v>
      </c>
      <c r="I16" s="446"/>
      <c r="J16" s="468" t="s">
        <v>470</v>
      </c>
      <c r="K16" s="461"/>
      <c r="L16" s="461"/>
      <c r="M16" s="462"/>
      <c r="N16" s="273"/>
      <c r="O16" s="273"/>
      <c r="P16" s="273"/>
      <c r="Q16" s="273"/>
      <c r="R16" s="273"/>
      <c r="S16" s="273"/>
    </row>
    <row r="17" spans="1:19" s="269" customFormat="1" ht="27.95" customHeight="1">
      <c r="A17" s="273"/>
      <c r="B17" s="273"/>
      <c r="C17" s="467" t="s">
        <v>456</v>
      </c>
      <c r="D17" s="443" t="s">
        <v>252</v>
      </c>
      <c r="E17" s="445" t="s">
        <v>465</v>
      </c>
      <c r="F17" s="443" t="s">
        <v>230</v>
      </c>
      <c r="G17" s="445"/>
      <c r="H17" s="445" t="s">
        <v>231</v>
      </c>
      <c r="I17" s="446"/>
      <c r="J17" s="468" t="s">
        <v>470</v>
      </c>
      <c r="K17" s="461"/>
      <c r="L17" s="461"/>
      <c r="M17" s="462"/>
      <c r="N17" s="273"/>
      <c r="O17" s="273"/>
      <c r="P17" s="273"/>
      <c r="Q17" s="273"/>
      <c r="R17" s="273"/>
      <c r="S17" s="273"/>
    </row>
    <row r="18" spans="1:19" s="269" customFormat="1" ht="15" customHeight="1">
      <c r="A18" s="273"/>
      <c r="B18" s="273"/>
      <c r="C18" s="466" t="s">
        <v>457</v>
      </c>
      <c r="D18" s="443" t="s">
        <v>252</v>
      </c>
      <c r="E18" s="445" t="s">
        <v>465</v>
      </c>
      <c r="F18" s="443" t="s">
        <v>230</v>
      </c>
      <c r="G18" s="445"/>
      <c r="H18" s="445"/>
      <c r="I18" s="446"/>
      <c r="J18" s="468" t="s">
        <v>468</v>
      </c>
      <c r="K18" s="461"/>
      <c r="L18" s="461"/>
      <c r="M18" s="462"/>
      <c r="N18" s="273"/>
      <c r="O18" s="273"/>
      <c r="P18" s="273"/>
      <c r="Q18" s="273"/>
      <c r="R18" s="273"/>
      <c r="S18" s="273"/>
    </row>
    <row r="19" spans="1:19" s="269" customFormat="1" ht="15" customHeight="1">
      <c r="A19" s="273"/>
      <c r="B19" s="273"/>
      <c r="C19" s="466" t="s">
        <v>458</v>
      </c>
      <c r="D19" s="443" t="s">
        <v>252</v>
      </c>
      <c r="E19" s="445" t="s">
        <v>465</v>
      </c>
      <c r="F19" s="443" t="s">
        <v>230</v>
      </c>
      <c r="G19" s="445"/>
      <c r="H19" s="445" t="s">
        <v>231</v>
      </c>
      <c r="I19" s="446"/>
      <c r="J19" s="469" t="s">
        <v>469</v>
      </c>
      <c r="K19" s="463"/>
      <c r="L19" s="463"/>
      <c r="M19" s="464"/>
      <c r="N19" s="273"/>
      <c r="O19" s="273"/>
      <c r="P19" s="273"/>
      <c r="Q19" s="273"/>
      <c r="R19" s="273"/>
      <c r="S19" s="273"/>
    </row>
    <row r="20" spans="1:19" s="269" customFormat="1" ht="15" customHeight="1">
      <c r="A20" s="273"/>
      <c r="B20" s="273"/>
      <c r="C20" s="447" t="s">
        <v>215</v>
      </c>
      <c r="D20" s="448" t="s">
        <v>228</v>
      </c>
      <c r="E20" s="449" t="s">
        <v>229</v>
      </c>
      <c r="F20" s="448" t="s">
        <v>238</v>
      </c>
      <c r="G20" s="449"/>
      <c r="H20" s="448"/>
      <c r="I20" s="448"/>
      <c r="J20" s="533" t="s">
        <v>239</v>
      </c>
      <c r="K20" s="534"/>
      <c r="L20" s="534"/>
      <c r="M20" s="535"/>
      <c r="N20" s="273"/>
      <c r="O20" s="273"/>
      <c r="P20" s="273"/>
      <c r="Q20" s="273"/>
      <c r="R20" s="273"/>
      <c r="S20" s="273"/>
    </row>
    <row r="21" spans="1:19" s="269" customFormat="1" ht="15" customHeight="1">
      <c r="A21" s="273"/>
      <c r="B21" s="273"/>
      <c r="C21" s="450" t="s">
        <v>201</v>
      </c>
      <c r="D21" s="451" t="s">
        <v>252</v>
      </c>
      <c r="E21" s="452" t="s">
        <v>263</v>
      </c>
      <c r="F21" s="451" t="s">
        <v>238</v>
      </c>
      <c r="G21" s="452"/>
      <c r="H21" s="451" t="s">
        <v>231</v>
      </c>
      <c r="I21" s="451"/>
      <c r="J21" s="539" t="s">
        <v>433</v>
      </c>
      <c r="K21" s="540"/>
      <c r="L21" s="540"/>
      <c r="M21" s="541"/>
      <c r="N21" s="273"/>
      <c r="O21" s="273"/>
      <c r="P21" s="273"/>
      <c r="Q21" s="273"/>
      <c r="R21" s="273"/>
      <c r="S21" s="273"/>
    </row>
    <row r="22" spans="1:19" s="269" customFormat="1" ht="15" customHeight="1">
      <c r="A22" s="273"/>
      <c r="B22" s="273"/>
      <c r="C22" s="453" t="s">
        <v>78</v>
      </c>
      <c r="D22" s="451" t="s">
        <v>228</v>
      </c>
      <c r="E22" s="452" t="s">
        <v>240</v>
      </c>
      <c r="F22" s="451" t="s">
        <v>230</v>
      </c>
      <c r="G22" s="452"/>
      <c r="H22" s="451"/>
      <c r="I22" s="451"/>
      <c r="J22" s="536" t="s">
        <v>244</v>
      </c>
      <c r="K22" s="537"/>
      <c r="L22" s="537"/>
      <c r="M22" s="538"/>
      <c r="N22" s="273"/>
      <c r="O22" s="273"/>
      <c r="P22" s="273"/>
      <c r="Q22" s="273"/>
      <c r="R22" s="273"/>
      <c r="S22" s="273"/>
    </row>
    <row r="23" spans="1:19" s="269" customFormat="1" ht="15" customHeight="1">
      <c r="A23" s="273"/>
      <c r="B23" s="273"/>
      <c r="C23" s="454" t="s">
        <v>245</v>
      </c>
      <c r="D23" s="448" t="s">
        <v>228</v>
      </c>
      <c r="E23" s="449" t="s">
        <v>240</v>
      </c>
      <c r="F23" s="448" t="s">
        <v>230</v>
      </c>
      <c r="G23" s="449"/>
      <c r="H23" s="448" t="s">
        <v>231</v>
      </c>
      <c r="I23" s="448"/>
      <c r="J23" s="536" t="s">
        <v>246</v>
      </c>
      <c r="K23" s="537"/>
      <c r="L23" s="537"/>
      <c r="M23" s="538"/>
      <c r="N23" s="273"/>
      <c r="O23" s="273"/>
      <c r="P23" s="273"/>
      <c r="Q23" s="277"/>
      <c r="R23" s="273"/>
      <c r="S23" s="273"/>
    </row>
    <row r="24" spans="1:19" s="269" customFormat="1" ht="15" customHeight="1">
      <c r="A24" s="273"/>
      <c r="B24" s="273"/>
      <c r="C24" s="453" t="s">
        <v>79</v>
      </c>
      <c r="D24" s="451" t="s">
        <v>228</v>
      </c>
      <c r="E24" s="452" t="s">
        <v>240</v>
      </c>
      <c r="F24" s="451" t="s">
        <v>230</v>
      </c>
      <c r="G24" s="452"/>
      <c r="H24" s="451"/>
      <c r="I24" s="451"/>
      <c r="J24" s="536" t="s">
        <v>249</v>
      </c>
      <c r="K24" s="537"/>
      <c r="L24" s="537"/>
      <c r="M24" s="538"/>
      <c r="N24" s="273"/>
      <c r="O24" s="273"/>
      <c r="P24" s="273"/>
      <c r="Q24" s="273"/>
      <c r="R24" s="273"/>
      <c r="S24" s="273"/>
    </row>
    <row r="25" spans="1:19" s="269" customFormat="1" ht="15" customHeight="1">
      <c r="A25" s="273"/>
      <c r="B25" s="273"/>
      <c r="C25" s="447" t="s">
        <v>48</v>
      </c>
      <c r="D25" s="448" t="s">
        <v>228</v>
      </c>
      <c r="E25" s="449" t="s">
        <v>240</v>
      </c>
      <c r="F25" s="448" t="s">
        <v>230</v>
      </c>
      <c r="G25" s="449"/>
      <c r="H25" s="448" t="s">
        <v>231</v>
      </c>
      <c r="I25" s="448"/>
      <c r="J25" s="536" t="s">
        <v>250</v>
      </c>
      <c r="K25" s="537"/>
      <c r="L25" s="537"/>
      <c r="M25" s="538"/>
      <c r="N25" s="273"/>
      <c r="O25" s="273"/>
      <c r="P25" s="273"/>
      <c r="Q25" s="273"/>
      <c r="R25" s="273"/>
      <c r="S25" s="273"/>
    </row>
    <row r="26" spans="1:19" s="269" customFormat="1" ht="15" customHeight="1">
      <c r="A26" s="273"/>
      <c r="B26" s="273"/>
      <c r="C26" s="453" t="s">
        <v>11</v>
      </c>
      <c r="D26" s="451" t="s">
        <v>228</v>
      </c>
      <c r="E26" s="452" t="s">
        <v>229</v>
      </c>
      <c r="F26" s="451" t="s">
        <v>230</v>
      </c>
      <c r="G26" s="452"/>
      <c r="H26" s="451"/>
      <c r="I26" s="451"/>
      <c r="J26" s="536" t="s">
        <v>235</v>
      </c>
      <c r="K26" s="537"/>
      <c r="L26" s="537"/>
      <c r="M26" s="538"/>
      <c r="N26" s="273"/>
      <c r="O26" s="273"/>
      <c r="P26" s="273"/>
      <c r="Q26" s="273"/>
      <c r="R26" s="273"/>
      <c r="S26" s="273"/>
    </row>
    <row r="27" spans="1:19" s="269" customFormat="1" ht="15" customHeight="1">
      <c r="A27" s="273"/>
      <c r="B27" s="273"/>
      <c r="C27" s="454" t="s">
        <v>236</v>
      </c>
      <c r="D27" s="448" t="s">
        <v>228</v>
      </c>
      <c r="E27" s="449" t="s">
        <v>229</v>
      </c>
      <c r="F27" s="448" t="s">
        <v>230</v>
      </c>
      <c r="G27" s="449"/>
      <c r="H27" s="448" t="s">
        <v>231</v>
      </c>
      <c r="I27" s="448"/>
      <c r="J27" s="536" t="s">
        <v>237</v>
      </c>
      <c r="K27" s="537"/>
      <c r="L27" s="537"/>
      <c r="M27" s="538"/>
      <c r="N27" s="273"/>
      <c r="O27" s="273"/>
      <c r="P27" s="273"/>
      <c r="Q27" s="273"/>
      <c r="R27" s="273"/>
      <c r="S27" s="273"/>
    </row>
    <row r="28" spans="1:19" s="269" customFormat="1" ht="15" customHeight="1">
      <c r="A28" s="273"/>
      <c r="B28" s="273"/>
      <c r="C28" s="453" t="s">
        <v>80</v>
      </c>
      <c r="D28" s="451" t="s">
        <v>252</v>
      </c>
      <c r="E28" s="452" t="s">
        <v>263</v>
      </c>
      <c r="F28" s="451" t="s">
        <v>230</v>
      </c>
      <c r="G28" s="452"/>
      <c r="H28" s="451"/>
      <c r="I28" s="451"/>
      <c r="J28" s="536" t="s">
        <v>264</v>
      </c>
      <c r="K28" s="537"/>
      <c r="L28" s="537"/>
      <c r="M28" s="538"/>
      <c r="N28" s="273"/>
      <c r="O28" s="273"/>
      <c r="P28" s="273"/>
      <c r="Q28" s="273"/>
      <c r="R28" s="273"/>
      <c r="S28" s="273"/>
    </row>
    <row r="29" spans="1:19" s="269" customFormat="1" ht="15" customHeight="1">
      <c r="A29" s="273"/>
      <c r="B29" s="273"/>
      <c r="C29" s="455" t="s">
        <v>81</v>
      </c>
      <c r="D29" s="448" t="s">
        <v>252</v>
      </c>
      <c r="E29" s="449" t="s">
        <v>263</v>
      </c>
      <c r="F29" s="448" t="s">
        <v>230</v>
      </c>
      <c r="G29" s="449"/>
      <c r="H29" s="448" t="s">
        <v>231</v>
      </c>
      <c r="I29" s="448"/>
      <c r="J29" s="536" t="s">
        <v>265</v>
      </c>
      <c r="K29" s="537"/>
      <c r="L29" s="537"/>
      <c r="M29" s="538"/>
      <c r="N29" s="273"/>
      <c r="O29" s="273"/>
      <c r="P29" s="273"/>
      <c r="Q29" s="273"/>
      <c r="R29" s="273"/>
      <c r="S29" s="273"/>
    </row>
    <row r="30" spans="1:19" s="269" customFormat="1" ht="13.5">
      <c r="A30" s="273"/>
      <c r="B30" s="273"/>
      <c r="C30" s="456" t="s">
        <v>218</v>
      </c>
      <c r="D30" s="451" t="s">
        <v>252</v>
      </c>
      <c r="E30" s="452" t="s">
        <v>257</v>
      </c>
      <c r="F30" s="451" t="s">
        <v>230</v>
      </c>
      <c r="G30" s="452"/>
      <c r="H30" s="451"/>
      <c r="I30" s="451"/>
      <c r="J30" s="536" t="s">
        <v>258</v>
      </c>
      <c r="K30" s="537"/>
      <c r="L30" s="537"/>
      <c r="M30" s="538"/>
      <c r="N30" s="273"/>
      <c r="O30" s="273"/>
      <c r="P30" s="273"/>
      <c r="Q30" s="273"/>
      <c r="R30" s="273"/>
      <c r="S30" s="273"/>
    </row>
    <row r="31" spans="1:19" s="269" customFormat="1" ht="13.5">
      <c r="A31" s="273"/>
      <c r="B31" s="273"/>
      <c r="C31" s="454" t="s">
        <v>219</v>
      </c>
      <c r="D31" s="448" t="s">
        <v>252</v>
      </c>
      <c r="E31" s="449" t="s">
        <v>261</v>
      </c>
      <c r="F31" s="448" t="s">
        <v>230</v>
      </c>
      <c r="G31" s="449"/>
      <c r="H31" s="448"/>
      <c r="I31" s="448"/>
      <c r="J31" s="536" t="s">
        <v>262</v>
      </c>
      <c r="K31" s="537"/>
      <c r="L31" s="537"/>
      <c r="M31" s="538"/>
      <c r="N31" s="273"/>
      <c r="O31" s="273"/>
      <c r="P31" s="273"/>
      <c r="Q31" s="273"/>
      <c r="R31" s="273"/>
      <c r="S31" s="273"/>
    </row>
    <row r="32" spans="1:19" s="269" customFormat="1" ht="13.5">
      <c r="A32" s="273"/>
      <c r="B32" s="273"/>
      <c r="C32" s="450" t="s">
        <v>247</v>
      </c>
      <c r="D32" s="451" t="s">
        <v>228</v>
      </c>
      <c r="E32" s="452" t="s">
        <v>240</v>
      </c>
      <c r="F32" s="457" t="s">
        <v>230</v>
      </c>
      <c r="G32" s="452"/>
      <c r="H32" s="451"/>
      <c r="I32" s="451" t="s">
        <v>231</v>
      </c>
      <c r="J32" s="536" t="s">
        <v>248</v>
      </c>
      <c r="K32" s="537"/>
      <c r="L32" s="537"/>
      <c r="M32" s="538"/>
      <c r="N32" s="273"/>
      <c r="O32" s="273"/>
      <c r="P32" s="273"/>
      <c r="Q32" s="273"/>
      <c r="R32" s="273"/>
      <c r="S32" s="273"/>
    </row>
    <row r="33" spans="1:20" s="269" customFormat="1" ht="13.5">
      <c r="A33" s="273"/>
      <c r="B33" s="273"/>
      <c r="C33" s="447" t="s">
        <v>266</v>
      </c>
      <c r="D33" s="448" t="s">
        <v>252</v>
      </c>
      <c r="E33" s="449" t="s">
        <v>263</v>
      </c>
      <c r="F33" s="448" t="s">
        <v>230</v>
      </c>
      <c r="G33" s="449"/>
      <c r="H33" s="448"/>
      <c r="I33" s="448" t="s">
        <v>231</v>
      </c>
      <c r="J33" s="536" t="s">
        <v>267</v>
      </c>
      <c r="K33" s="537"/>
      <c r="L33" s="537"/>
      <c r="M33" s="538"/>
      <c r="N33" s="273"/>
      <c r="O33" s="273"/>
      <c r="P33" s="273"/>
      <c r="Q33" s="273"/>
      <c r="R33" s="273"/>
      <c r="S33" s="273"/>
    </row>
    <row r="34" spans="1:20" s="269" customFormat="1" ht="15" customHeight="1">
      <c r="A34" s="272"/>
      <c r="B34" s="273"/>
      <c r="C34" s="453" t="s">
        <v>49</v>
      </c>
      <c r="D34" s="451" t="s">
        <v>228</v>
      </c>
      <c r="E34" s="452" t="s">
        <v>240</v>
      </c>
      <c r="F34" s="451" t="s">
        <v>230</v>
      </c>
      <c r="G34" s="452" t="s">
        <v>231</v>
      </c>
      <c r="H34" s="451"/>
      <c r="I34" s="451"/>
      <c r="J34" s="536" t="s">
        <v>241</v>
      </c>
      <c r="K34" s="537"/>
      <c r="L34" s="537"/>
      <c r="M34" s="538"/>
      <c r="N34" s="273"/>
      <c r="O34" s="273"/>
      <c r="P34" s="272"/>
      <c r="Q34" s="272"/>
      <c r="R34" s="272"/>
      <c r="S34" s="272"/>
      <c r="T34" s="272"/>
    </row>
    <row r="35" spans="1:20" s="269" customFormat="1" ht="15" customHeight="1">
      <c r="A35" s="272"/>
      <c r="B35" s="273"/>
      <c r="C35" s="454" t="s">
        <v>242</v>
      </c>
      <c r="D35" s="448" t="s">
        <v>228</v>
      </c>
      <c r="E35" s="449" t="s">
        <v>240</v>
      </c>
      <c r="F35" s="448" t="s">
        <v>230</v>
      </c>
      <c r="G35" s="449" t="s">
        <v>231</v>
      </c>
      <c r="H35" s="448" t="s">
        <v>231</v>
      </c>
      <c r="I35" s="448"/>
      <c r="J35" s="536" t="s">
        <v>243</v>
      </c>
      <c r="K35" s="537"/>
      <c r="L35" s="537"/>
      <c r="M35" s="538"/>
      <c r="N35" s="273"/>
      <c r="O35" s="273"/>
      <c r="P35" s="272"/>
      <c r="Q35" s="272"/>
      <c r="R35" s="272"/>
      <c r="S35" s="272"/>
      <c r="T35" s="272"/>
    </row>
    <row r="36" spans="1:20" s="269" customFormat="1" ht="15" customHeight="1">
      <c r="A36" s="272"/>
      <c r="B36" s="272"/>
      <c r="C36" s="450" t="s">
        <v>227</v>
      </c>
      <c r="D36" s="451" t="s">
        <v>228</v>
      </c>
      <c r="E36" s="452" t="s">
        <v>229</v>
      </c>
      <c r="F36" s="451" t="s">
        <v>230</v>
      </c>
      <c r="G36" s="452" t="s">
        <v>231</v>
      </c>
      <c r="H36" s="451"/>
      <c r="I36" s="451"/>
      <c r="J36" s="536" t="s">
        <v>232</v>
      </c>
      <c r="K36" s="537"/>
      <c r="L36" s="537"/>
      <c r="M36" s="538"/>
      <c r="N36" s="272"/>
      <c r="O36" s="272"/>
      <c r="P36" s="272"/>
      <c r="Q36" s="272"/>
      <c r="R36" s="272"/>
      <c r="S36" s="272"/>
      <c r="T36" s="272"/>
    </row>
    <row r="37" spans="1:20" s="269" customFormat="1" ht="15" customHeight="1">
      <c r="A37" s="272"/>
      <c r="B37" s="272"/>
      <c r="C37" s="447" t="s">
        <v>233</v>
      </c>
      <c r="D37" s="448" t="s">
        <v>228</v>
      </c>
      <c r="E37" s="449" t="s">
        <v>229</v>
      </c>
      <c r="F37" s="448" t="s">
        <v>230</v>
      </c>
      <c r="G37" s="449" t="s">
        <v>231</v>
      </c>
      <c r="H37" s="448" t="s">
        <v>231</v>
      </c>
      <c r="I37" s="448"/>
      <c r="J37" s="536" t="s">
        <v>234</v>
      </c>
      <c r="K37" s="537"/>
      <c r="L37" s="537"/>
      <c r="M37" s="538"/>
      <c r="N37" s="272"/>
      <c r="O37" s="272"/>
      <c r="P37" s="272"/>
      <c r="Q37" s="272"/>
      <c r="R37" s="272"/>
      <c r="S37" s="272"/>
      <c r="T37" s="272"/>
    </row>
    <row r="38" spans="1:20" s="269" customFormat="1" ht="15" customHeight="1">
      <c r="A38" s="272"/>
      <c r="B38" s="272"/>
      <c r="C38" s="456" t="s">
        <v>251</v>
      </c>
      <c r="D38" s="451" t="s">
        <v>252</v>
      </c>
      <c r="E38" s="452" t="s">
        <v>253</v>
      </c>
      <c r="F38" s="451" t="s">
        <v>230</v>
      </c>
      <c r="G38" s="452" t="s">
        <v>231</v>
      </c>
      <c r="H38" s="451"/>
      <c r="I38" s="451"/>
      <c r="J38" s="536" t="s">
        <v>254</v>
      </c>
      <c r="K38" s="537"/>
      <c r="L38" s="537"/>
      <c r="M38" s="538"/>
      <c r="N38" s="272"/>
      <c r="O38" s="272"/>
      <c r="P38" s="272"/>
      <c r="Q38" s="272"/>
      <c r="R38" s="272"/>
      <c r="S38" s="272"/>
      <c r="T38" s="272"/>
    </row>
    <row r="39" spans="1:20" s="269" customFormat="1" ht="15" customHeight="1">
      <c r="A39" s="272"/>
      <c r="B39" s="272"/>
      <c r="C39" s="450" t="s">
        <v>255</v>
      </c>
      <c r="D39" s="451" t="s">
        <v>252</v>
      </c>
      <c r="E39" s="452" t="s">
        <v>253</v>
      </c>
      <c r="F39" s="451" t="s">
        <v>230</v>
      </c>
      <c r="G39" s="452" t="s">
        <v>231</v>
      </c>
      <c r="H39" s="451" t="s">
        <v>231</v>
      </c>
      <c r="I39" s="451"/>
      <c r="J39" s="536" t="s">
        <v>256</v>
      </c>
      <c r="K39" s="537"/>
      <c r="L39" s="537"/>
      <c r="M39" s="538"/>
      <c r="N39" s="272"/>
      <c r="O39" s="272"/>
      <c r="P39" s="272"/>
      <c r="Q39" s="272"/>
      <c r="R39" s="272"/>
      <c r="S39" s="272"/>
      <c r="T39" s="272"/>
    </row>
    <row r="40" spans="1:20" s="269" customFormat="1" ht="15" customHeight="1" thickBot="1">
      <c r="A40" s="272"/>
      <c r="B40" s="272"/>
      <c r="C40" s="458" t="s">
        <v>82</v>
      </c>
      <c r="D40" s="459" t="s">
        <v>252</v>
      </c>
      <c r="E40" s="460" t="s">
        <v>259</v>
      </c>
      <c r="F40" s="459" t="s">
        <v>230</v>
      </c>
      <c r="G40" s="460"/>
      <c r="H40" s="459"/>
      <c r="I40" s="459"/>
      <c r="J40" s="542" t="s">
        <v>260</v>
      </c>
      <c r="K40" s="543"/>
      <c r="L40" s="543"/>
      <c r="M40" s="544"/>
      <c r="N40" s="272"/>
      <c r="O40" s="272"/>
      <c r="P40" s="272"/>
      <c r="Q40" s="272"/>
      <c r="R40" s="272"/>
      <c r="S40" s="272"/>
      <c r="T40" s="272"/>
    </row>
    <row r="41" spans="1:20" s="269" customFormat="1" ht="15" customHeight="1">
      <c r="A41" s="272"/>
      <c r="B41" s="272"/>
      <c r="C41" s="272"/>
      <c r="D41" s="272"/>
      <c r="E41" s="272"/>
      <c r="F41" s="272"/>
      <c r="G41" s="272"/>
      <c r="H41" s="272"/>
      <c r="I41" s="272"/>
      <c r="J41" s="272"/>
      <c r="K41" s="272"/>
      <c r="L41" s="272"/>
      <c r="M41" s="272"/>
      <c r="N41" s="272"/>
      <c r="O41" s="272"/>
      <c r="P41" s="272"/>
      <c r="Q41" s="272"/>
      <c r="R41" s="272"/>
      <c r="S41" s="272"/>
      <c r="T41" s="272"/>
    </row>
    <row r="42" spans="1:20" s="269" customFormat="1" ht="15" customHeight="1">
      <c r="A42" s="272"/>
      <c r="B42" s="272" t="s">
        <v>152</v>
      </c>
      <c r="C42" s="272"/>
      <c r="D42" s="272"/>
      <c r="E42" s="272"/>
      <c r="F42" s="272"/>
      <c r="G42" s="272"/>
      <c r="H42" s="272"/>
      <c r="I42" s="272"/>
      <c r="J42" s="272"/>
      <c r="K42" s="272"/>
      <c r="L42" s="272"/>
      <c r="M42" s="272"/>
      <c r="N42" s="272"/>
      <c r="O42" s="272"/>
      <c r="P42" s="272"/>
      <c r="Q42" s="272"/>
      <c r="R42" s="272"/>
      <c r="S42" s="272"/>
      <c r="T42" s="272"/>
    </row>
    <row r="43" spans="1:20" s="269" customFormat="1" ht="15" customHeight="1">
      <c r="A43" s="272"/>
      <c r="B43" s="272"/>
      <c r="C43" s="532" t="s">
        <v>10</v>
      </c>
      <c r="D43" s="532"/>
      <c r="E43" s="529" t="s">
        <v>8</v>
      </c>
      <c r="F43" s="529"/>
      <c r="G43" s="529"/>
      <c r="H43" s="529"/>
      <c r="I43" s="529"/>
      <c r="J43" s="272"/>
      <c r="K43" s="272"/>
      <c r="L43" s="272"/>
      <c r="M43" s="272"/>
      <c r="N43" s="272"/>
      <c r="O43" s="272"/>
      <c r="P43" s="272"/>
      <c r="Q43" s="272"/>
      <c r="R43" s="272"/>
      <c r="S43" s="272"/>
      <c r="T43" s="272"/>
    </row>
    <row r="44" spans="1:20" s="269" customFormat="1" ht="15" customHeight="1">
      <c r="A44" s="272"/>
      <c r="B44" s="272"/>
      <c r="C44" s="272"/>
      <c r="D44" s="272"/>
      <c r="E44" s="272"/>
      <c r="F44" s="272"/>
      <c r="G44" s="272"/>
      <c r="H44" s="272"/>
      <c r="I44" s="272"/>
      <c r="J44" s="272"/>
      <c r="K44" s="272"/>
      <c r="L44" s="272"/>
      <c r="M44" s="272"/>
      <c r="N44" s="272"/>
      <c r="O44" s="272"/>
      <c r="P44" s="272"/>
      <c r="Q44" s="272"/>
      <c r="R44" s="272"/>
      <c r="S44" s="272"/>
      <c r="T44" s="272"/>
    </row>
    <row r="45" spans="1:20" s="269" customFormat="1" ht="15" customHeight="1">
      <c r="A45" s="272"/>
      <c r="B45" s="272" t="s">
        <v>153</v>
      </c>
      <c r="C45" s="272"/>
      <c r="D45" s="272"/>
      <c r="E45" s="272"/>
      <c r="F45" s="272"/>
      <c r="G45" s="272"/>
      <c r="H45" s="272"/>
      <c r="I45" s="272"/>
      <c r="J45" s="272"/>
      <c r="K45" s="272"/>
      <c r="L45" s="272"/>
      <c r="M45" s="272"/>
      <c r="N45" s="272"/>
      <c r="O45" s="272"/>
      <c r="P45" s="272"/>
      <c r="Q45" s="272"/>
      <c r="R45" s="272"/>
      <c r="S45" s="272"/>
      <c r="T45" s="272"/>
    </row>
    <row r="46" spans="1:20" s="269" customFormat="1" ht="15" customHeight="1" thickBot="1">
      <c r="A46" s="272"/>
      <c r="B46" s="272"/>
      <c r="C46" s="278"/>
      <c r="D46" s="278"/>
      <c r="E46" s="272"/>
      <c r="F46" s="272"/>
      <c r="G46" s="272"/>
      <c r="H46" s="272"/>
      <c r="I46" s="272"/>
      <c r="J46" s="272"/>
      <c r="K46" s="272"/>
      <c r="L46" s="272"/>
      <c r="M46" s="272"/>
      <c r="N46" s="272"/>
      <c r="O46" s="272"/>
      <c r="P46" s="272"/>
      <c r="Q46" s="272"/>
      <c r="R46" s="272"/>
      <c r="S46" s="272"/>
      <c r="T46" s="272"/>
    </row>
    <row r="47" spans="1:20" s="269" customFormat="1" ht="15" customHeight="1">
      <c r="A47" s="272"/>
      <c r="B47" s="272"/>
      <c r="C47" s="279" t="s">
        <v>43</v>
      </c>
      <c r="D47" s="280" t="s">
        <v>9</v>
      </c>
      <c r="E47" s="272"/>
      <c r="F47" s="272"/>
      <c r="G47" s="272"/>
      <c r="H47" s="272"/>
      <c r="I47" s="272"/>
      <c r="J47" s="272"/>
      <c r="K47" s="272"/>
      <c r="L47" s="272"/>
      <c r="M47" s="272"/>
      <c r="N47" s="272"/>
      <c r="O47" s="272"/>
      <c r="P47" s="272"/>
      <c r="Q47" s="272"/>
      <c r="R47" s="272"/>
      <c r="S47" s="272"/>
      <c r="T47" s="272"/>
    </row>
    <row r="48" spans="1:20" s="269" customFormat="1" ht="15" customHeight="1">
      <c r="A48" s="272"/>
      <c r="B48" s="272"/>
      <c r="C48" s="279" t="s">
        <v>434</v>
      </c>
      <c r="D48" s="281" t="s">
        <v>9</v>
      </c>
      <c r="E48" s="272"/>
      <c r="F48" s="272"/>
      <c r="G48" s="272"/>
      <c r="H48" s="272"/>
      <c r="I48" s="272"/>
      <c r="J48" s="272"/>
      <c r="K48" s="272"/>
      <c r="L48" s="272"/>
      <c r="M48" s="272"/>
      <c r="N48" s="272"/>
      <c r="O48" s="272"/>
      <c r="P48" s="272"/>
      <c r="Q48" s="272"/>
      <c r="R48" s="272"/>
      <c r="S48" s="272"/>
      <c r="T48" s="272"/>
    </row>
    <row r="49" spans="1:20" s="269" customFormat="1" ht="15" customHeight="1">
      <c r="A49" s="272"/>
      <c r="B49" s="272"/>
      <c r="C49" s="279" t="s">
        <v>435</v>
      </c>
      <c r="D49" s="282" t="s">
        <v>9</v>
      </c>
      <c r="E49" s="272"/>
      <c r="F49" s="272"/>
      <c r="G49" s="272"/>
      <c r="H49" s="272"/>
      <c r="I49" s="272"/>
      <c r="J49" s="272"/>
      <c r="K49" s="272"/>
      <c r="L49" s="272"/>
      <c r="M49" s="272"/>
      <c r="N49" s="272"/>
      <c r="O49" s="272"/>
      <c r="P49" s="272"/>
      <c r="Q49" s="272"/>
      <c r="R49" s="272"/>
      <c r="S49" s="272"/>
      <c r="T49" s="272"/>
    </row>
    <row r="50" spans="1:20" s="269" customFormat="1" ht="15" customHeight="1">
      <c r="A50" s="272"/>
      <c r="B50" s="272"/>
      <c r="C50" s="283" t="s">
        <v>191</v>
      </c>
      <c r="D50" s="284" t="s">
        <v>9</v>
      </c>
      <c r="E50" s="272"/>
      <c r="F50" s="272"/>
      <c r="G50" s="272"/>
      <c r="H50" s="272"/>
      <c r="I50" s="272"/>
      <c r="J50" s="272"/>
      <c r="K50" s="272"/>
      <c r="L50" s="272"/>
      <c r="M50" s="272"/>
      <c r="N50" s="272"/>
      <c r="O50" s="272"/>
      <c r="P50" s="272"/>
      <c r="Q50" s="272"/>
      <c r="R50" s="272"/>
      <c r="S50" s="272"/>
      <c r="T50" s="272"/>
    </row>
    <row r="51" spans="1:20" s="269" customFormat="1" ht="15" customHeight="1" thickBot="1">
      <c r="A51" s="272"/>
      <c r="B51" s="272"/>
      <c r="C51" s="283" t="s">
        <v>192</v>
      </c>
      <c r="D51" s="285" t="s">
        <v>9</v>
      </c>
      <c r="E51" s="272"/>
      <c r="F51" s="272"/>
      <c r="G51" s="272"/>
      <c r="H51" s="272"/>
      <c r="I51" s="272"/>
      <c r="J51" s="272"/>
      <c r="K51" s="272"/>
      <c r="L51" s="272"/>
      <c r="M51" s="272"/>
      <c r="N51" s="272"/>
      <c r="O51" s="272"/>
      <c r="P51" s="272"/>
      <c r="Q51" s="272"/>
      <c r="R51" s="272"/>
      <c r="S51" s="272"/>
      <c r="T51" s="264"/>
    </row>
    <row r="52" spans="1:20" s="269" customFormat="1" ht="15" customHeight="1">
      <c r="A52" s="272"/>
      <c r="B52" s="272"/>
      <c r="C52" s="272"/>
      <c r="D52" s="272"/>
      <c r="E52" s="272"/>
      <c r="F52" s="272"/>
      <c r="G52" s="272"/>
      <c r="H52" s="272"/>
      <c r="I52" s="272"/>
      <c r="J52" s="272"/>
      <c r="K52" s="272"/>
      <c r="L52" s="272"/>
      <c r="M52" s="272"/>
      <c r="N52" s="272"/>
      <c r="O52" s="272"/>
      <c r="P52" s="272"/>
      <c r="Q52" s="272"/>
      <c r="R52" s="272"/>
      <c r="S52" s="272"/>
      <c r="T52" s="264"/>
    </row>
    <row r="53" spans="1:20" s="269" customFormat="1" ht="15" customHeight="1">
      <c r="A53" s="272"/>
      <c r="B53" s="272" t="s">
        <v>442</v>
      </c>
      <c r="C53" s="272"/>
      <c r="D53" s="272"/>
      <c r="E53" s="272"/>
      <c r="F53" s="272"/>
      <c r="G53" s="272"/>
      <c r="H53" s="272"/>
      <c r="I53" s="272"/>
      <c r="J53" s="272"/>
      <c r="K53" s="272"/>
      <c r="L53" s="272"/>
      <c r="M53" s="272"/>
      <c r="N53" s="272"/>
      <c r="O53" s="272"/>
      <c r="P53" s="272"/>
      <c r="Q53" s="272"/>
      <c r="R53" s="272"/>
      <c r="S53" s="272"/>
      <c r="T53" s="264"/>
    </row>
    <row r="54" spans="1:20" s="269" customFormat="1" ht="15" customHeight="1">
      <c r="A54" s="272"/>
      <c r="B54" s="272"/>
      <c r="C54" s="272"/>
      <c r="D54" s="286" t="s">
        <v>443</v>
      </c>
      <c r="E54" s="293" t="s">
        <v>444</v>
      </c>
      <c r="F54" s="272"/>
      <c r="G54" s="272"/>
      <c r="H54" s="272"/>
      <c r="I54" s="272"/>
      <c r="J54" s="272"/>
      <c r="K54" s="272"/>
      <c r="L54" s="272"/>
      <c r="M54" s="272"/>
      <c r="N54" s="272"/>
      <c r="O54" s="272"/>
      <c r="P54" s="272"/>
      <c r="Q54" s="272"/>
      <c r="R54" s="272"/>
      <c r="S54" s="272"/>
      <c r="T54" s="264"/>
    </row>
    <row r="55" spans="1:20" s="269" customFormat="1" ht="15" customHeight="1">
      <c r="A55" s="273"/>
      <c r="B55" s="273"/>
      <c r="C55" s="273"/>
      <c r="D55" s="273"/>
      <c r="E55" s="273"/>
      <c r="F55" s="273"/>
      <c r="G55" s="273"/>
      <c r="H55" s="273"/>
      <c r="I55" s="273"/>
      <c r="J55" s="273"/>
      <c r="K55" s="273"/>
      <c r="L55" s="273"/>
      <c r="M55" s="273"/>
      <c r="N55" s="273"/>
      <c r="O55" s="273"/>
      <c r="P55" s="273"/>
      <c r="Q55" s="273"/>
      <c r="R55" s="273"/>
      <c r="S55" s="273"/>
    </row>
    <row r="56" spans="1:20" s="269" customFormat="1" ht="15" customHeight="1"/>
    <row r="57" spans="1:20" s="269" customFormat="1" ht="15" customHeight="1"/>
    <row r="58" spans="1:20" ht="15" customHeight="1"/>
    <row r="59" spans="1:20" ht="15" customHeight="1"/>
    <row r="60" spans="1:20" ht="15" customHeight="1"/>
    <row r="61" spans="1:20" ht="15" customHeight="1"/>
    <row r="62" spans="1:20" ht="15" customHeight="1"/>
    <row r="63" spans="1:20" ht="15" customHeight="1"/>
    <row r="64" spans="1:20" ht="15" customHeight="1"/>
  </sheetData>
  <sheetProtection algorithmName="SHA-512" hashValue="eMQoiblBEsqR6d8fhoOjxg13sN0Cy3A3570yKije138aOi5dfrgQzoR/O2ItEDFs9ehoX5D0k1UoQOKVueSy6g==" saltValue="Y+tNrtFaXd9EQKgjPe0v/w==" spinCount="100000" sheet="1" objects="1" scenarios="1"/>
  <mergeCells count="29">
    <mergeCell ref="J14:M14"/>
    <mergeCell ref="J29:M29"/>
    <mergeCell ref="J30:M30"/>
    <mergeCell ref="J31:M31"/>
    <mergeCell ref="J32:M32"/>
    <mergeCell ref="J33:M33"/>
    <mergeCell ref="J39:M39"/>
    <mergeCell ref="J40:M40"/>
    <mergeCell ref="J34:M34"/>
    <mergeCell ref="J35:M35"/>
    <mergeCell ref="J36:M36"/>
    <mergeCell ref="J37:M37"/>
    <mergeCell ref="J38:M38"/>
    <mergeCell ref="J13:M13"/>
    <mergeCell ref="B7:I7"/>
    <mergeCell ref="E43:I43"/>
    <mergeCell ref="A1:S3"/>
    <mergeCell ref="C12:D12"/>
    <mergeCell ref="A4:AE4"/>
    <mergeCell ref="C43:D43"/>
    <mergeCell ref="J20:M20"/>
    <mergeCell ref="J22:M22"/>
    <mergeCell ref="J23:M23"/>
    <mergeCell ref="J24:M24"/>
    <mergeCell ref="J25:M25"/>
    <mergeCell ref="J26:M26"/>
    <mergeCell ref="J27:M27"/>
    <mergeCell ref="J28:M28"/>
    <mergeCell ref="J21:M21"/>
  </mergeCells>
  <phoneticPr fontId="21"/>
  <hyperlinks>
    <hyperlink ref="A5:R5" r:id="rId1" display="For any futher assistance on this tool, please post your question in the following forum Room - E2E Precision Data Converters Forum" xr:uid="{00000000-0004-0000-0100-000000000000}"/>
    <hyperlink ref="R5" location="'Table of Contents'!B17" display="Table of Contents" xr:uid="{00000000-0004-0000-0100-000001000000}"/>
    <hyperlink ref="E43" location="'Table of Contents'!A1" display="Table of Contents" xr:uid="{00000000-0004-0000-0100-000002000000}"/>
    <hyperlink ref="E43:I43" location="'Table of Contents'!B17" display="Table of Contents" xr:uid="{00000000-0004-0000-0100-000006000000}"/>
    <hyperlink ref="J23" r:id="rId2" xr:uid="{2B8BC6B6-6055-49A3-A430-9649A565B933}"/>
    <hyperlink ref="J22" r:id="rId3" xr:uid="{F179E4ED-E4E8-4B28-945E-3E161CEDE392}"/>
    <hyperlink ref="J25" r:id="rId4" xr:uid="{E3831485-4605-4C62-9803-42142A6DC97A}"/>
    <hyperlink ref="J26" r:id="rId5" xr:uid="{7A2F767A-CC07-4987-BEC4-04B99E23331D}"/>
    <hyperlink ref="J27" r:id="rId6" xr:uid="{56D89243-4E44-431E-8002-E06FA52D345E}"/>
    <hyperlink ref="J28" r:id="rId7" xr:uid="{5D1A1E98-9E6F-4872-8487-BA05A1804870}"/>
    <hyperlink ref="J29" r:id="rId8" xr:uid="{9E6AE82D-079F-41F9-A6B0-0A2C59D8B71C}"/>
    <hyperlink ref="J34" r:id="rId9" xr:uid="{B085DE2F-BF07-4245-B761-D5C5AFEDE34B}"/>
    <hyperlink ref="J35" r:id="rId10" xr:uid="{16C53D69-0DD0-4E7B-B792-64C6315B434A}"/>
    <hyperlink ref="J38" r:id="rId11" xr:uid="{738B20DA-2F1C-4F66-B85C-84E60809BF3A}"/>
    <hyperlink ref="J39" r:id="rId12" xr:uid="{918FC61D-F5D7-4ED6-8390-1AFACA716CA1}"/>
    <hyperlink ref="J36" r:id="rId13" xr:uid="{04C6C165-0960-4AEB-B593-37A064E5B81B}"/>
    <hyperlink ref="J32" r:id="rId14" xr:uid="{756219DA-8D8E-4B1F-B2B0-623D2205F5A2}"/>
    <hyperlink ref="J33" r:id="rId15" xr:uid="{CFD5460A-C72B-40A4-9252-616D3D9CAD5A}"/>
    <hyperlink ref="J37" r:id="rId16" xr:uid="{11AF003E-CBBA-467F-9FAE-0326C7D82B57}"/>
    <hyperlink ref="J20" r:id="rId17" xr:uid="{1FD97176-6DBB-4B8D-8B44-C0A8292AD9BD}"/>
    <hyperlink ref="J30" r:id="rId18" xr:uid="{ED1FD119-88F7-4DAA-9DF7-203B0DED71C2}"/>
    <hyperlink ref="J31" r:id="rId19" xr:uid="{1B25B45F-6ECD-4F9D-8D98-8B8F4EAAC502}"/>
    <hyperlink ref="J40" r:id="rId20" xr:uid="{3061A22B-93C5-4366-A3E3-81B86AA649C3}"/>
    <hyperlink ref="J21" r:id="rId21" xr:uid="{497BBBC2-2DF2-41B6-99D9-407234826580}"/>
    <hyperlink ref="E54" location="Directions!A1" display="Directions" xr:uid="{64E42F58-1263-43F6-B093-71B6F9785C0F}"/>
    <hyperlink ref="I9" r:id="rId22" xr:uid="{DAE2D16B-1F33-464B-A697-C2D2A4DEE057}"/>
    <hyperlink ref="J14" r:id="rId23" xr:uid="{9D7E03E1-708E-4A24-9EA5-FF547FFBE264}"/>
    <hyperlink ref="J15" r:id="rId24" xr:uid="{22CA0468-8AE3-4324-B34D-9238DF39D58A}"/>
    <hyperlink ref="J16" r:id="rId25" xr:uid="{F371D6E2-D415-4839-8650-A46DA684AB42}"/>
    <hyperlink ref="J17" r:id="rId26" xr:uid="{313B128D-083B-40D9-B55E-C6A1FD528364}"/>
    <hyperlink ref="J18" r:id="rId27" xr:uid="{B08DFB97-B46E-476A-AD62-852EEE2D1033}"/>
    <hyperlink ref="J19" r:id="rId28" xr:uid="{2541AF76-A5AA-4B8D-A82D-36049F163A33}"/>
  </hyperlinks>
  <pageMargins left="0.7" right="0.7" top="0.75" bottom="0.75" header="0.3" footer="0.3"/>
  <pageSetup orientation="portrait" r:id="rId29"/>
  <drawing r:id="rId3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3AF0468-54E3-4BDF-BD1A-338DC4A18109}">
  <dimension ref="A1:AS84"/>
  <sheetViews>
    <sheetView showGridLines="0" showRowColHeaders="0" zoomScaleNormal="100" workbookViewId="0">
      <selection activeCell="I13" sqref="I13"/>
    </sheetView>
  </sheetViews>
  <sheetFormatPr defaultColWidth="8.73046875" defaultRowHeight="14.25"/>
  <cols>
    <col min="1" max="1" width="8.73046875" style="210"/>
    <col min="2" max="2" width="8.73046875" style="153"/>
    <col min="3" max="3" width="10.73046875" style="153" customWidth="1"/>
    <col min="4" max="4" width="13.265625" style="153" customWidth="1"/>
    <col min="5" max="5" width="10.73046875" style="153" customWidth="1"/>
    <col min="6" max="7" width="8.73046875" style="153"/>
    <col min="8" max="8" width="23.265625" style="153" customWidth="1"/>
    <col min="9" max="9" width="8.73046875" style="153"/>
    <col min="10" max="10" width="8.73046875" style="210"/>
    <col min="11" max="11" width="8.73046875" style="153"/>
    <col min="12" max="12" width="14.3984375" style="153" customWidth="1"/>
    <col min="13" max="15" width="8.73046875" style="153"/>
    <col min="16" max="16" width="14.3984375" style="153" customWidth="1"/>
    <col min="17" max="17" width="20.59765625" style="153" customWidth="1"/>
    <col min="18" max="16384" width="8.73046875" style="153"/>
  </cols>
  <sheetData>
    <row r="1" spans="1:31" ht="15" customHeight="1">
      <c r="A1" s="519"/>
      <c r="B1" s="519"/>
      <c r="C1" s="519"/>
      <c r="D1" s="519"/>
      <c r="E1" s="519"/>
      <c r="F1" s="519"/>
      <c r="G1" s="519"/>
      <c r="H1" s="519"/>
      <c r="I1" s="519"/>
      <c r="J1" s="519"/>
      <c r="K1" s="519"/>
      <c r="L1" s="519"/>
      <c r="M1" s="519"/>
      <c r="N1" s="519"/>
      <c r="O1" s="519"/>
      <c r="P1" s="519"/>
      <c r="Q1" s="519"/>
      <c r="R1" s="519"/>
      <c r="S1" s="519"/>
      <c r="T1" s="519"/>
      <c r="U1" s="519"/>
    </row>
    <row r="2" spans="1:31" ht="15" customHeight="1">
      <c r="A2" s="519"/>
      <c r="B2" s="519"/>
      <c r="C2" s="519"/>
      <c r="D2" s="519"/>
      <c r="E2" s="519"/>
      <c r="F2" s="519"/>
      <c r="G2" s="519"/>
      <c r="H2" s="519"/>
      <c r="I2" s="519"/>
      <c r="J2" s="519"/>
      <c r="K2" s="519"/>
      <c r="L2" s="519"/>
      <c r="M2" s="519"/>
      <c r="N2" s="519"/>
      <c r="O2" s="519"/>
      <c r="P2" s="519"/>
      <c r="Q2" s="519"/>
      <c r="R2" s="519"/>
      <c r="S2" s="519"/>
      <c r="T2" s="519"/>
      <c r="U2" s="519"/>
    </row>
    <row r="3" spans="1:31" ht="15" customHeight="1">
      <c r="A3" s="519"/>
      <c r="B3" s="519"/>
      <c r="C3" s="519"/>
      <c r="D3" s="519"/>
      <c r="E3" s="519"/>
      <c r="F3" s="519"/>
      <c r="G3" s="519"/>
      <c r="H3" s="519"/>
      <c r="I3" s="519"/>
      <c r="J3" s="519"/>
      <c r="K3" s="519"/>
      <c r="L3" s="519"/>
      <c r="M3" s="519"/>
      <c r="N3" s="519"/>
      <c r="O3" s="519"/>
      <c r="P3" s="519"/>
      <c r="Q3" s="519"/>
      <c r="R3" s="519"/>
      <c r="S3" s="519"/>
      <c r="T3" s="519"/>
      <c r="U3" s="519"/>
    </row>
    <row r="4" spans="1:31" ht="15" customHeight="1">
      <c r="A4" s="522"/>
      <c r="B4" s="522"/>
      <c r="C4" s="522"/>
      <c r="D4" s="522"/>
      <c r="E4" s="522"/>
      <c r="F4" s="522"/>
      <c r="G4" s="522"/>
      <c r="H4" s="522"/>
      <c r="I4" s="522"/>
      <c r="J4" s="522"/>
      <c r="K4" s="522"/>
      <c r="L4" s="522"/>
      <c r="M4" s="522"/>
      <c r="N4" s="522"/>
      <c r="O4" s="522"/>
      <c r="P4" s="522"/>
      <c r="Q4" s="522"/>
      <c r="R4" s="522"/>
      <c r="S4" s="522"/>
      <c r="T4" s="522"/>
      <c r="U4" s="522"/>
      <c r="V4" s="522"/>
      <c r="W4" s="522"/>
      <c r="X4" s="522"/>
      <c r="Y4" s="522"/>
      <c r="Z4" s="522"/>
      <c r="AA4" s="522"/>
      <c r="AB4" s="522"/>
      <c r="AC4" s="522"/>
      <c r="AD4" s="522"/>
      <c r="AE4" s="522"/>
    </row>
    <row r="5" spans="1:31" ht="15" customHeight="1">
      <c r="A5" s="154"/>
      <c r="B5" s="155"/>
      <c r="C5" s="155"/>
      <c r="D5" s="155"/>
      <c r="E5" s="155"/>
      <c r="F5" s="155"/>
      <c r="G5" s="155"/>
      <c r="H5" s="155"/>
      <c r="I5" s="155"/>
      <c r="J5" s="154"/>
      <c r="K5" s="155"/>
      <c r="L5" s="155"/>
      <c r="M5" s="155"/>
      <c r="N5" s="155"/>
      <c r="O5" s="155"/>
      <c r="P5" s="155"/>
      <c r="Q5" s="155"/>
      <c r="R5" s="155"/>
      <c r="S5" s="155"/>
      <c r="T5" s="155"/>
      <c r="U5" s="155"/>
      <c r="V5" s="155"/>
    </row>
    <row r="6" spans="1:31" ht="15" customHeight="1">
      <c r="A6" s="154"/>
      <c r="B6" s="156" t="s">
        <v>445</v>
      </c>
      <c r="C6" s="157"/>
      <c r="D6" s="157"/>
      <c r="E6" s="157"/>
      <c r="F6" s="155"/>
      <c r="G6" s="155"/>
      <c r="H6" s="155"/>
      <c r="I6" s="155"/>
      <c r="J6" s="154"/>
      <c r="K6" s="611" t="s">
        <v>8</v>
      </c>
      <c r="L6" s="611"/>
      <c r="M6" s="155"/>
      <c r="N6" s="155"/>
      <c r="O6" s="155"/>
      <c r="P6" s="155"/>
      <c r="Q6" s="155"/>
      <c r="R6" s="155"/>
      <c r="S6" s="155"/>
      <c r="T6" s="155"/>
      <c r="U6" s="155"/>
      <c r="V6" s="155"/>
    </row>
    <row r="7" spans="1:31" ht="15" customHeight="1">
      <c r="A7" s="154"/>
      <c r="B7" s="158"/>
      <c r="C7" s="158"/>
      <c r="D7" s="158"/>
      <c r="E7" s="159"/>
      <c r="F7" s="158"/>
      <c r="G7" s="158"/>
      <c r="H7" s="158"/>
      <c r="I7" s="158"/>
      <c r="J7" s="160"/>
      <c r="K7" s="158"/>
      <c r="L7" s="158"/>
      <c r="M7" s="158"/>
      <c r="N7" s="158"/>
      <c r="O7" s="158"/>
      <c r="P7" s="158"/>
      <c r="Q7" s="158"/>
      <c r="S7" s="155"/>
      <c r="T7" s="155"/>
      <c r="U7" s="155"/>
      <c r="V7" s="155"/>
    </row>
    <row r="8" spans="1:31" ht="15" customHeight="1">
      <c r="A8" s="154" t="s">
        <v>357</v>
      </c>
      <c r="B8" s="161" t="s">
        <v>18</v>
      </c>
      <c r="C8" s="159"/>
      <c r="D8" s="159"/>
      <c r="E8" s="159"/>
      <c r="F8" s="162"/>
      <c r="G8" s="159"/>
      <c r="H8" s="159"/>
      <c r="I8" s="159"/>
      <c r="J8" s="163" t="s">
        <v>403</v>
      </c>
      <c r="K8" s="161" t="s">
        <v>0</v>
      </c>
      <c r="L8" s="159"/>
      <c r="M8" s="159"/>
      <c r="N8" s="159"/>
      <c r="O8" s="159"/>
      <c r="P8" s="159"/>
      <c r="Q8" s="159"/>
      <c r="S8" s="155"/>
      <c r="T8" s="155"/>
      <c r="U8" s="155"/>
      <c r="V8" s="155"/>
    </row>
    <row r="9" spans="1:31" ht="15" customHeight="1">
      <c r="A9" s="154"/>
      <c r="B9" s="164" t="s">
        <v>53</v>
      </c>
      <c r="C9" s="165"/>
      <c r="D9" s="166"/>
      <c r="E9" s="167" t="s">
        <v>358</v>
      </c>
      <c r="F9" s="168"/>
      <c r="G9" s="168"/>
      <c r="H9" s="169"/>
      <c r="I9" s="170"/>
      <c r="J9" s="160"/>
      <c r="K9" s="602" t="s">
        <v>184</v>
      </c>
      <c r="L9" s="603"/>
      <c r="M9" s="591" t="s">
        <v>359</v>
      </c>
      <c r="N9" s="591"/>
      <c r="O9" s="591"/>
      <c r="P9" s="588"/>
      <c r="Q9" s="608" t="s">
        <v>360</v>
      </c>
      <c r="R9" s="171"/>
      <c r="S9" s="155"/>
      <c r="T9" s="155"/>
      <c r="U9" s="155"/>
      <c r="V9" s="155"/>
    </row>
    <row r="10" spans="1:31" ht="15" customHeight="1">
      <c r="A10" s="154"/>
      <c r="B10" s="172" t="s">
        <v>54</v>
      </c>
      <c r="C10" s="173"/>
      <c r="D10" s="174"/>
      <c r="E10" s="175" t="s">
        <v>361</v>
      </c>
      <c r="F10" s="176"/>
      <c r="G10" s="176"/>
      <c r="H10" s="177"/>
      <c r="I10" s="176"/>
      <c r="J10" s="160"/>
      <c r="K10" s="604"/>
      <c r="L10" s="605"/>
      <c r="M10" s="592"/>
      <c r="N10" s="592"/>
      <c r="O10" s="592"/>
      <c r="P10" s="590"/>
      <c r="Q10" s="609"/>
      <c r="R10" s="171"/>
      <c r="S10" s="155"/>
      <c r="T10" s="155"/>
      <c r="U10" s="155"/>
      <c r="V10" s="155"/>
    </row>
    <row r="11" spans="1:31" ht="15" customHeight="1">
      <c r="A11" s="154"/>
      <c r="B11" s="178" t="s">
        <v>87</v>
      </c>
      <c r="C11" s="165"/>
      <c r="D11" s="166"/>
      <c r="E11" s="167" t="s">
        <v>415</v>
      </c>
      <c r="F11" s="168"/>
      <c r="G11" s="168"/>
      <c r="H11" s="169"/>
      <c r="I11" s="170"/>
      <c r="J11" s="160"/>
      <c r="K11" s="179" t="s">
        <v>185</v>
      </c>
      <c r="L11" s="180"/>
      <c r="M11" s="181" t="s">
        <v>362</v>
      </c>
      <c r="N11" s="182"/>
      <c r="O11" s="183"/>
      <c r="P11" s="184"/>
      <c r="Q11" s="609"/>
      <c r="R11" s="171"/>
      <c r="S11" s="155"/>
      <c r="T11" s="155"/>
      <c r="U11" s="155"/>
      <c r="V11" s="155"/>
    </row>
    <row r="12" spans="1:31" ht="15" customHeight="1">
      <c r="A12" s="154"/>
      <c r="B12" s="185" t="s">
        <v>416</v>
      </c>
      <c r="C12" s="186"/>
      <c r="D12" s="187"/>
      <c r="E12" s="167" t="s">
        <v>417</v>
      </c>
      <c r="F12" s="188"/>
      <c r="G12" s="188"/>
      <c r="H12" s="189"/>
      <c r="I12" s="176"/>
      <c r="J12" s="160"/>
      <c r="K12" s="257" t="s">
        <v>186</v>
      </c>
      <c r="L12" s="258"/>
      <c r="M12" s="587" t="s">
        <v>363</v>
      </c>
      <c r="N12" s="591"/>
      <c r="O12" s="591"/>
      <c r="P12" s="588"/>
      <c r="Q12" s="609"/>
      <c r="R12" s="171"/>
      <c r="S12" s="155"/>
      <c r="T12" s="155"/>
      <c r="U12" s="155"/>
      <c r="V12" s="155"/>
    </row>
    <row r="13" spans="1:31" ht="15" customHeight="1">
      <c r="A13" s="154"/>
      <c r="B13" s="190" t="s">
        <v>115</v>
      </c>
      <c r="C13" s="173"/>
      <c r="D13" s="174"/>
      <c r="E13" s="175" t="s">
        <v>418</v>
      </c>
      <c r="F13" s="176"/>
      <c r="G13" s="176"/>
      <c r="H13" s="177"/>
      <c r="I13" s="176"/>
      <c r="J13" s="160"/>
      <c r="K13" s="179" t="s">
        <v>187</v>
      </c>
      <c r="L13" s="180"/>
      <c r="M13" s="181" t="s">
        <v>368</v>
      </c>
      <c r="N13" s="182"/>
      <c r="O13" s="183"/>
      <c r="P13" s="184"/>
      <c r="Q13" s="609"/>
      <c r="R13" s="171"/>
      <c r="S13" s="155"/>
      <c r="T13" s="155"/>
      <c r="U13" s="155"/>
      <c r="V13" s="155"/>
    </row>
    <row r="14" spans="1:31" ht="15" customHeight="1">
      <c r="A14" s="154"/>
      <c r="B14" s="191" t="s">
        <v>195</v>
      </c>
      <c r="C14" s="165"/>
      <c r="D14" s="166"/>
      <c r="E14" s="167" t="s">
        <v>369</v>
      </c>
      <c r="F14" s="168"/>
      <c r="G14" s="155"/>
      <c r="H14" s="169"/>
      <c r="I14" s="170"/>
      <c r="J14" s="160"/>
      <c r="K14" s="602" t="s">
        <v>1</v>
      </c>
      <c r="L14" s="603"/>
      <c r="M14" s="560" t="s">
        <v>370</v>
      </c>
      <c r="N14" s="561"/>
      <c r="O14" s="561"/>
      <c r="P14" s="562"/>
      <c r="Q14" s="609"/>
      <c r="R14" s="171"/>
      <c r="S14" s="155"/>
      <c r="T14" s="155"/>
      <c r="U14" s="155"/>
      <c r="V14" s="155"/>
    </row>
    <row r="15" spans="1:31" ht="15" customHeight="1">
      <c r="A15" s="154"/>
      <c r="B15" s="192" t="s">
        <v>196</v>
      </c>
      <c r="C15" s="193"/>
      <c r="D15" s="194"/>
      <c r="E15" s="195" t="s">
        <v>371</v>
      </c>
      <c r="F15" s="196"/>
      <c r="G15" s="155"/>
      <c r="H15" s="177"/>
      <c r="I15" s="176"/>
      <c r="J15" s="160"/>
      <c r="K15" s="606"/>
      <c r="L15" s="607"/>
      <c r="M15" s="566"/>
      <c r="N15" s="567"/>
      <c r="O15" s="567"/>
      <c r="P15" s="568"/>
      <c r="Q15" s="609"/>
      <c r="R15" s="171"/>
      <c r="S15" s="155"/>
      <c r="T15" s="155"/>
      <c r="U15" s="155"/>
      <c r="V15" s="155"/>
    </row>
    <row r="16" spans="1:31" ht="15" customHeight="1">
      <c r="A16" s="154"/>
      <c r="B16" s="191" t="s">
        <v>364</v>
      </c>
      <c r="C16" s="165"/>
      <c r="D16" s="166"/>
      <c r="E16" s="167" t="s">
        <v>365</v>
      </c>
      <c r="F16" s="168"/>
      <c r="G16" s="168"/>
      <c r="H16" s="169"/>
      <c r="I16" s="170"/>
      <c r="J16" s="160"/>
      <c r="K16" s="604"/>
      <c r="L16" s="605"/>
      <c r="M16" s="563"/>
      <c r="N16" s="564"/>
      <c r="O16" s="564"/>
      <c r="P16" s="565"/>
      <c r="Q16" s="609"/>
      <c r="R16" s="171"/>
      <c r="S16" s="155"/>
      <c r="T16" s="155"/>
      <c r="U16" s="155"/>
      <c r="V16" s="155"/>
    </row>
    <row r="17" spans="1:22" ht="15" customHeight="1">
      <c r="A17" s="154"/>
      <c r="B17" s="197" t="s">
        <v>366</v>
      </c>
      <c r="C17" s="186"/>
      <c r="D17" s="187"/>
      <c r="E17" s="167" t="s">
        <v>367</v>
      </c>
      <c r="F17" s="188"/>
      <c r="G17" s="198"/>
      <c r="H17" s="199"/>
      <c r="I17" s="159"/>
      <c r="J17" s="163"/>
      <c r="K17" s="179" t="s">
        <v>2</v>
      </c>
      <c r="L17" s="180"/>
      <c r="M17" s="181" t="s">
        <v>374</v>
      </c>
      <c r="N17" s="182"/>
      <c r="O17" s="183"/>
      <c r="P17" s="184"/>
      <c r="Q17" s="609"/>
      <c r="R17" s="171"/>
      <c r="S17" s="155"/>
      <c r="T17" s="155"/>
      <c r="U17" s="155"/>
      <c r="V17" s="155"/>
    </row>
    <row r="18" spans="1:22" ht="15" customHeight="1">
      <c r="A18" s="154"/>
      <c r="B18" s="162"/>
      <c r="C18" s="200"/>
      <c r="D18" s="200"/>
      <c r="E18" s="201"/>
      <c r="F18" s="201"/>
      <c r="G18" s="201"/>
      <c r="H18" s="159"/>
      <c r="I18" s="202"/>
      <c r="J18" s="203"/>
      <c r="K18" s="259" t="s">
        <v>188</v>
      </c>
      <c r="L18" s="260"/>
      <c r="M18" s="572" t="s">
        <v>117</v>
      </c>
      <c r="N18" s="573"/>
      <c r="O18" s="573"/>
      <c r="P18" s="574"/>
      <c r="Q18" s="610"/>
      <c r="R18" s="171"/>
      <c r="S18" s="204"/>
      <c r="T18" s="204"/>
      <c r="U18" s="204"/>
      <c r="V18" s="155"/>
    </row>
    <row r="19" spans="1:22" ht="15" customHeight="1">
      <c r="A19" s="154" t="s">
        <v>372</v>
      </c>
      <c r="B19" s="205" t="s">
        <v>373</v>
      </c>
      <c r="C19" s="205"/>
      <c r="D19" s="205"/>
      <c r="E19" s="206"/>
      <c r="F19" s="206"/>
      <c r="G19" s="206"/>
      <c r="H19" s="176"/>
      <c r="I19" s="176"/>
      <c r="J19" s="160"/>
      <c r="Q19" s="171"/>
      <c r="R19" s="171"/>
      <c r="S19" s="171"/>
      <c r="T19" s="159"/>
      <c r="U19" s="155"/>
      <c r="V19" s="155"/>
    </row>
    <row r="20" spans="1:22" ht="15" customHeight="1">
      <c r="A20" s="154"/>
      <c r="B20" s="584" t="s">
        <v>124</v>
      </c>
      <c r="C20" s="585"/>
      <c r="D20" s="586"/>
      <c r="E20" s="584" t="s">
        <v>419</v>
      </c>
      <c r="F20" s="585"/>
      <c r="G20" s="585"/>
      <c r="H20" s="586"/>
      <c r="I20" s="170"/>
      <c r="J20" s="154" t="s">
        <v>384</v>
      </c>
      <c r="K20" s="207" t="s">
        <v>377</v>
      </c>
      <c r="L20" s="155"/>
      <c r="M20" s="155"/>
      <c r="N20" s="155"/>
      <c r="O20" s="155"/>
      <c r="P20" s="155"/>
      <c r="Q20" s="155"/>
      <c r="R20" s="155"/>
      <c r="S20" s="155"/>
      <c r="T20" s="155"/>
      <c r="U20" s="155"/>
      <c r="V20" s="155"/>
    </row>
    <row r="21" spans="1:22" ht="15" customHeight="1">
      <c r="A21" s="154"/>
      <c r="B21" s="259" t="s">
        <v>125</v>
      </c>
      <c r="C21" s="208"/>
      <c r="D21" s="260"/>
      <c r="E21" s="584" t="s">
        <v>420</v>
      </c>
      <c r="F21" s="585"/>
      <c r="G21" s="585"/>
      <c r="H21" s="586"/>
      <c r="I21" s="209"/>
      <c r="K21" s="587" t="s">
        <v>333</v>
      </c>
      <c r="L21" s="588"/>
      <c r="M21" s="587" t="s">
        <v>378</v>
      </c>
      <c r="N21" s="591"/>
      <c r="O21" s="591"/>
      <c r="P21" s="588"/>
      <c r="Q21" s="581" t="s">
        <v>379</v>
      </c>
      <c r="R21" s="211"/>
      <c r="S21" s="155"/>
      <c r="T21" s="155"/>
      <c r="U21" s="155"/>
      <c r="V21" s="155"/>
    </row>
    <row r="22" spans="1:22" ht="15" customHeight="1">
      <c r="A22" s="154"/>
      <c r="B22" s="261" t="s">
        <v>193</v>
      </c>
      <c r="C22" s="212"/>
      <c r="D22" s="213"/>
      <c r="E22" s="569" t="s">
        <v>421</v>
      </c>
      <c r="F22" s="570"/>
      <c r="G22" s="570"/>
      <c r="H22" s="571"/>
      <c r="J22" s="154"/>
      <c r="K22" s="589"/>
      <c r="L22" s="590"/>
      <c r="M22" s="589"/>
      <c r="N22" s="592"/>
      <c r="O22" s="592"/>
      <c r="P22" s="590"/>
      <c r="Q22" s="582"/>
      <c r="R22" s="211"/>
      <c r="S22" s="155"/>
      <c r="T22" s="155"/>
      <c r="U22" s="155"/>
      <c r="V22" s="155"/>
    </row>
    <row r="23" spans="1:22" ht="15" customHeight="1">
      <c r="A23" s="154"/>
      <c r="B23" s="179" t="s">
        <v>194</v>
      </c>
      <c r="C23" s="214"/>
      <c r="D23" s="215"/>
      <c r="E23" s="569" t="s">
        <v>421</v>
      </c>
      <c r="F23" s="570"/>
      <c r="G23" s="570"/>
      <c r="H23" s="571"/>
      <c r="J23" s="154"/>
      <c r="K23" s="560" t="s">
        <v>380</v>
      </c>
      <c r="L23" s="562"/>
      <c r="M23" s="560" t="s">
        <v>381</v>
      </c>
      <c r="N23" s="561"/>
      <c r="O23" s="561"/>
      <c r="P23" s="562"/>
      <c r="Q23" s="582"/>
      <c r="R23" s="211"/>
      <c r="S23" s="155"/>
      <c r="T23" s="155"/>
      <c r="U23" s="155"/>
      <c r="V23" s="155"/>
    </row>
    <row r="24" spans="1:22" ht="15" customHeight="1">
      <c r="A24" s="154"/>
      <c r="B24" s="261" t="s">
        <v>197</v>
      </c>
      <c r="C24" s="212"/>
      <c r="D24" s="213"/>
      <c r="E24" s="569" t="s">
        <v>375</v>
      </c>
      <c r="F24" s="570"/>
      <c r="G24" s="570"/>
      <c r="H24" s="571"/>
      <c r="J24" s="154"/>
      <c r="K24" s="563"/>
      <c r="L24" s="565"/>
      <c r="M24" s="563"/>
      <c r="N24" s="564"/>
      <c r="O24" s="564"/>
      <c r="P24" s="565"/>
      <c r="Q24" s="582"/>
      <c r="R24" s="211"/>
      <c r="S24" s="155"/>
      <c r="T24" s="155"/>
      <c r="U24" s="155"/>
      <c r="V24" s="155"/>
    </row>
    <row r="25" spans="1:22" ht="15" customHeight="1">
      <c r="A25" s="154"/>
      <c r="B25" s="554" t="s">
        <v>38</v>
      </c>
      <c r="C25" s="555"/>
      <c r="D25" s="556"/>
      <c r="E25" s="560" t="s">
        <v>422</v>
      </c>
      <c r="F25" s="561"/>
      <c r="G25" s="561"/>
      <c r="H25" s="562"/>
      <c r="J25" s="154"/>
      <c r="K25" s="560" t="s">
        <v>335</v>
      </c>
      <c r="L25" s="561"/>
      <c r="M25" s="560" t="s">
        <v>382</v>
      </c>
      <c r="N25" s="561"/>
      <c r="O25" s="561"/>
      <c r="P25" s="562"/>
      <c r="Q25" s="582"/>
      <c r="R25" s="211"/>
      <c r="S25" s="155"/>
      <c r="T25" s="155"/>
      <c r="U25" s="155"/>
      <c r="V25" s="155"/>
    </row>
    <row r="26" spans="1:22" ht="15" customHeight="1">
      <c r="A26" s="154"/>
      <c r="B26" s="557"/>
      <c r="C26" s="558"/>
      <c r="D26" s="559"/>
      <c r="E26" s="563"/>
      <c r="F26" s="564"/>
      <c r="G26" s="564"/>
      <c r="H26" s="565"/>
      <c r="J26" s="154"/>
      <c r="K26" s="566"/>
      <c r="L26" s="567"/>
      <c r="M26" s="566"/>
      <c r="N26" s="567"/>
      <c r="O26" s="567"/>
      <c r="P26" s="568"/>
      <c r="Q26" s="582"/>
      <c r="R26" s="211"/>
      <c r="S26" s="155"/>
      <c r="T26" s="155"/>
      <c r="U26" s="155"/>
      <c r="V26" s="155"/>
    </row>
    <row r="27" spans="1:22" ht="15" customHeight="1">
      <c r="A27" s="154"/>
      <c r="B27" s="554" t="s">
        <v>199</v>
      </c>
      <c r="C27" s="555"/>
      <c r="D27" s="556"/>
      <c r="E27" s="560" t="s">
        <v>423</v>
      </c>
      <c r="F27" s="561"/>
      <c r="G27" s="561"/>
      <c r="H27" s="562"/>
      <c r="J27" s="154"/>
      <c r="K27" s="563"/>
      <c r="L27" s="564"/>
      <c r="M27" s="563"/>
      <c r="N27" s="564"/>
      <c r="O27" s="564"/>
      <c r="P27" s="565"/>
      <c r="Q27" s="582"/>
      <c r="R27" s="211"/>
      <c r="S27" s="155"/>
      <c r="T27" s="155"/>
      <c r="U27" s="155"/>
      <c r="V27" s="155"/>
    </row>
    <row r="28" spans="1:22" ht="15" customHeight="1">
      <c r="A28" s="154"/>
      <c r="B28" s="557"/>
      <c r="C28" s="558"/>
      <c r="D28" s="559"/>
      <c r="E28" s="563"/>
      <c r="F28" s="564"/>
      <c r="G28" s="564"/>
      <c r="H28" s="565"/>
      <c r="I28" s="155"/>
      <c r="J28" s="154"/>
      <c r="K28" s="560" t="s">
        <v>336</v>
      </c>
      <c r="L28" s="562"/>
      <c r="M28" s="560" t="s">
        <v>383</v>
      </c>
      <c r="N28" s="561"/>
      <c r="O28" s="561"/>
      <c r="P28" s="562"/>
      <c r="Q28" s="582"/>
      <c r="R28" s="211"/>
      <c r="S28" s="155"/>
      <c r="T28" s="155"/>
      <c r="U28" s="155"/>
      <c r="V28" s="155"/>
    </row>
    <row r="29" spans="1:22" ht="15" customHeight="1">
      <c r="A29" s="154"/>
      <c r="B29" s="554" t="s">
        <v>200</v>
      </c>
      <c r="C29" s="555"/>
      <c r="D29" s="556"/>
      <c r="E29" s="560" t="s">
        <v>424</v>
      </c>
      <c r="F29" s="561"/>
      <c r="G29" s="561"/>
      <c r="H29" s="562"/>
      <c r="I29" s="155"/>
      <c r="K29" s="566"/>
      <c r="L29" s="568"/>
      <c r="M29" s="566"/>
      <c r="N29" s="567"/>
      <c r="O29" s="567"/>
      <c r="P29" s="568"/>
      <c r="Q29" s="582"/>
      <c r="S29" s="155"/>
      <c r="T29" s="155"/>
      <c r="U29" s="155"/>
      <c r="V29" s="155"/>
    </row>
    <row r="30" spans="1:22" ht="15" customHeight="1">
      <c r="A30" s="154"/>
      <c r="B30" s="557"/>
      <c r="C30" s="558"/>
      <c r="D30" s="559"/>
      <c r="E30" s="563"/>
      <c r="F30" s="564"/>
      <c r="G30" s="564"/>
      <c r="H30" s="565"/>
      <c r="I30" s="155"/>
      <c r="K30" s="563"/>
      <c r="L30" s="565"/>
      <c r="M30" s="563"/>
      <c r="N30" s="564"/>
      <c r="O30" s="564"/>
      <c r="P30" s="565"/>
      <c r="Q30" s="583"/>
      <c r="S30" s="155"/>
      <c r="T30" s="155"/>
      <c r="U30" s="155"/>
      <c r="V30" s="155"/>
    </row>
    <row r="31" spans="1:22" ht="15" customHeight="1">
      <c r="A31" s="154"/>
      <c r="B31" s="554" t="s">
        <v>107</v>
      </c>
      <c r="C31" s="555"/>
      <c r="D31" s="556"/>
      <c r="E31" s="560" t="s">
        <v>425</v>
      </c>
      <c r="F31" s="561"/>
      <c r="G31" s="561"/>
      <c r="H31" s="562"/>
      <c r="I31" s="155"/>
      <c r="J31" s="154"/>
      <c r="K31" s="252"/>
      <c r="L31" s="252"/>
      <c r="M31" s="216"/>
      <c r="N31" s="216"/>
      <c r="O31" s="216"/>
      <c r="P31" s="216"/>
      <c r="Q31" s="211"/>
      <c r="R31" s="211"/>
      <c r="S31" s="155"/>
      <c r="T31" s="155"/>
      <c r="U31" s="155"/>
      <c r="V31" s="155"/>
    </row>
    <row r="32" spans="1:22" ht="15" customHeight="1">
      <c r="A32" s="154"/>
      <c r="B32" s="557"/>
      <c r="C32" s="558"/>
      <c r="D32" s="559"/>
      <c r="E32" s="563"/>
      <c r="F32" s="564"/>
      <c r="G32" s="564"/>
      <c r="H32" s="565"/>
      <c r="I32" s="155"/>
      <c r="J32" s="154"/>
      <c r="K32" s="155"/>
      <c r="L32" s="155"/>
      <c r="M32" s="155"/>
      <c r="N32" s="155"/>
      <c r="O32" s="155"/>
      <c r="P32" s="155"/>
      <c r="Q32" s="155"/>
      <c r="R32" s="155"/>
      <c r="S32" s="155"/>
      <c r="T32" s="155"/>
      <c r="U32" s="155"/>
      <c r="V32" s="155"/>
    </row>
    <row r="33" spans="1:45" ht="15" customHeight="1">
      <c r="A33" s="154"/>
      <c r="B33" s="554" t="s">
        <v>104</v>
      </c>
      <c r="C33" s="555"/>
      <c r="D33" s="556"/>
      <c r="E33" s="560" t="s">
        <v>426</v>
      </c>
      <c r="F33" s="561"/>
      <c r="G33" s="561"/>
      <c r="H33" s="562"/>
      <c r="I33" s="155"/>
      <c r="J33" s="154"/>
      <c r="Q33" s="155"/>
      <c r="R33" s="155"/>
      <c r="S33" s="155"/>
      <c r="T33" s="155"/>
      <c r="U33" s="155"/>
      <c r="V33" s="155"/>
    </row>
    <row r="34" spans="1:45" ht="15" customHeight="1">
      <c r="A34" s="154"/>
      <c r="B34" s="557"/>
      <c r="C34" s="558"/>
      <c r="D34" s="559"/>
      <c r="E34" s="563"/>
      <c r="F34" s="564"/>
      <c r="G34" s="564"/>
      <c r="H34" s="565"/>
      <c r="I34" s="155"/>
      <c r="J34" s="154"/>
      <c r="Q34" s="155"/>
      <c r="R34" s="155"/>
      <c r="S34" s="155"/>
      <c r="T34" s="155"/>
      <c r="U34" s="155"/>
      <c r="V34" s="155"/>
    </row>
    <row r="35" spans="1:45" ht="15" customHeight="1">
      <c r="A35" s="154"/>
      <c r="B35" s="259" t="s">
        <v>328</v>
      </c>
      <c r="C35" s="217"/>
      <c r="D35" s="218"/>
      <c r="E35" s="569" t="s">
        <v>427</v>
      </c>
      <c r="F35" s="570"/>
      <c r="G35" s="570"/>
      <c r="H35" s="571"/>
      <c r="I35" s="155"/>
      <c r="J35" s="154"/>
      <c r="Q35" s="155"/>
      <c r="R35" s="155"/>
      <c r="S35" s="155"/>
      <c r="T35" s="155"/>
      <c r="U35" s="155"/>
      <c r="V35" s="155"/>
    </row>
    <row r="36" spans="1:45" ht="15" customHeight="1">
      <c r="A36" s="219"/>
      <c r="B36" s="220"/>
      <c r="C36" s="221"/>
      <c r="D36" s="221"/>
      <c r="E36" s="221"/>
      <c r="F36" s="221"/>
      <c r="G36" s="221"/>
      <c r="H36" s="221"/>
      <c r="I36" s="220"/>
      <c r="J36" s="219"/>
      <c r="K36" s="220"/>
      <c r="L36" s="220"/>
      <c r="M36" s="220"/>
      <c r="N36" s="220"/>
      <c r="O36" s="220"/>
      <c r="P36" s="220"/>
      <c r="Q36" s="220"/>
      <c r="R36" s="220"/>
      <c r="S36" s="220"/>
      <c r="T36" s="220"/>
      <c r="U36" s="220"/>
      <c r="V36" s="220"/>
      <c r="W36" s="221"/>
      <c r="X36" s="221"/>
      <c r="Y36" s="221"/>
      <c r="Z36" s="221"/>
      <c r="AA36" s="221"/>
      <c r="AB36" s="221"/>
      <c r="AC36" s="221"/>
      <c r="AD36" s="221"/>
      <c r="AE36" s="221"/>
      <c r="AF36" s="221"/>
      <c r="AG36" s="221"/>
      <c r="AH36" s="221"/>
      <c r="AI36" s="221"/>
      <c r="AJ36" s="221"/>
      <c r="AK36" s="221"/>
      <c r="AL36" s="221"/>
      <c r="AM36" s="221"/>
      <c r="AN36" s="221"/>
      <c r="AO36" s="221"/>
      <c r="AP36" s="221"/>
      <c r="AQ36" s="221"/>
      <c r="AR36" s="221"/>
      <c r="AS36" s="221"/>
    </row>
    <row r="37" spans="1:45" ht="15" customHeight="1">
      <c r="A37" s="154"/>
      <c r="B37" s="155"/>
      <c r="I37" s="155"/>
      <c r="J37" s="154"/>
      <c r="K37" s="155"/>
      <c r="L37" s="155"/>
      <c r="M37" s="155"/>
      <c r="N37" s="155"/>
      <c r="O37" s="155"/>
      <c r="P37" s="155"/>
      <c r="Q37" s="155"/>
      <c r="R37" s="155"/>
      <c r="S37" s="155"/>
      <c r="T37" s="155"/>
      <c r="U37" s="155"/>
      <c r="V37" s="155"/>
    </row>
    <row r="38" spans="1:45" ht="15" customHeight="1">
      <c r="A38" s="154"/>
      <c r="B38" s="156" t="s">
        <v>385</v>
      </c>
      <c r="I38" s="155"/>
      <c r="J38" s="154"/>
      <c r="K38" s="155"/>
      <c r="L38" s="155"/>
      <c r="M38" s="155"/>
      <c r="N38" s="155"/>
      <c r="O38" s="155"/>
      <c r="P38" s="155"/>
      <c r="Q38" s="155"/>
      <c r="R38" s="155"/>
      <c r="S38" s="155"/>
      <c r="T38" s="155"/>
      <c r="U38" s="155"/>
      <c r="V38" s="155"/>
    </row>
    <row r="39" spans="1:45" ht="15" customHeight="1">
      <c r="A39" s="154"/>
      <c r="B39" s="155"/>
      <c r="C39" s="155"/>
      <c r="D39" s="155"/>
      <c r="E39" s="155"/>
      <c r="F39" s="155"/>
      <c r="G39" s="155"/>
      <c r="H39" s="155"/>
      <c r="I39" s="155"/>
      <c r="J39" s="154"/>
      <c r="K39" s="155"/>
      <c r="L39" s="155"/>
      <c r="M39" s="155"/>
      <c r="N39" s="155"/>
      <c r="O39" s="155"/>
      <c r="P39" s="155"/>
      <c r="Q39" s="155"/>
      <c r="R39" s="155"/>
      <c r="S39" s="155"/>
      <c r="T39" s="155"/>
      <c r="U39" s="155"/>
      <c r="V39" s="155"/>
    </row>
    <row r="40" spans="1:45" ht="15" customHeight="1">
      <c r="A40" s="154" t="s">
        <v>357</v>
      </c>
      <c r="B40" s="161" t="s">
        <v>18</v>
      </c>
      <c r="C40" s="155"/>
      <c r="D40" s="155"/>
      <c r="E40" s="155"/>
      <c r="F40" s="155"/>
      <c r="G40" s="155"/>
      <c r="H40" s="155"/>
      <c r="I40" s="155"/>
      <c r="J40" s="154" t="s">
        <v>384</v>
      </c>
      <c r="K40" s="222" t="s">
        <v>406</v>
      </c>
      <c r="L40" s="155"/>
      <c r="M40" s="155"/>
      <c r="N40" s="155"/>
      <c r="O40" s="155"/>
      <c r="P40" s="155"/>
      <c r="Q40" s="155"/>
      <c r="R40" s="155"/>
      <c r="S40" s="155"/>
      <c r="T40" s="155"/>
      <c r="U40" s="155"/>
      <c r="V40" s="155"/>
    </row>
    <row r="41" spans="1:45" ht="15" customHeight="1">
      <c r="A41" s="154"/>
      <c r="B41" s="560" t="s">
        <v>439</v>
      </c>
      <c r="C41" s="561"/>
      <c r="D41" s="562"/>
      <c r="E41" s="593" t="s">
        <v>437</v>
      </c>
      <c r="F41" s="594"/>
      <c r="G41" s="594"/>
      <c r="H41" s="595"/>
      <c r="I41" s="223"/>
      <c r="J41" s="154"/>
      <c r="K41" s="224" t="s">
        <v>110</v>
      </c>
      <c r="L41" s="225"/>
      <c r="M41" s="225"/>
      <c r="N41" s="226" t="s">
        <v>407</v>
      </c>
      <c r="O41" s="225"/>
      <c r="P41" s="225"/>
      <c r="Q41" s="227"/>
      <c r="R41" s="155"/>
      <c r="S41" s="155"/>
      <c r="T41" s="155"/>
      <c r="U41" s="155"/>
      <c r="V41" s="155"/>
    </row>
    <row r="42" spans="1:45" ht="15" customHeight="1">
      <c r="A42" s="154"/>
      <c r="B42" s="566"/>
      <c r="C42" s="567"/>
      <c r="D42" s="568"/>
      <c r="E42" s="596"/>
      <c r="F42" s="597"/>
      <c r="G42" s="597"/>
      <c r="H42" s="598"/>
      <c r="I42" s="223"/>
      <c r="J42" s="154"/>
      <c r="K42" s="228" t="s">
        <v>274</v>
      </c>
      <c r="L42" s="229"/>
      <c r="M42" s="229"/>
      <c r="N42" s="230" t="s">
        <v>408</v>
      </c>
      <c r="O42" s="229"/>
      <c r="P42" s="229"/>
      <c r="Q42" s="231"/>
      <c r="R42" s="155"/>
      <c r="S42" s="155"/>
      <c r="T42" s="155"/>
      <c r="U42" s="155"/>
      <c r="V42" s="155"/>
    </row>
    <row r="43" spans="1:45" ht="15" customHeight="1">
      <c r="A43" s="154"/>
      <c r="B43" s="563"/>
      <c r="C43" s="564"/>
      <c r="D43" s="565"/>
      <c r="E43" s="599"/>
      <c r="F43" s="600"/>
      <c r="G43" s="600"/>
      <c r="H43" s="601"/>
      <c r="I43" s="223"/>
      <c r="J43" s="154"/>
      <c r="K43" s="224" t="s">
        <v>409</v>
      </c>
      <c r="L43" s="225"/>
      <c r="M43" s="225"/>
      <c r="N43" s="226" t="s">
        <v>410</v>
      </c>
      <c r="O43" s="225"/>
      <c r="P43" s="225"/>
      <c r="Q43" s="227"/>
      <c r="R43" s="155"/>
      <c r="S43" s="155"/>
      <c r="T43" s="155"/>
      <c r="U43" s="155"/>
      <c r="V43" s="155"/>
    </row>
    <row r="44" spans="1:45" ht="15" customHeight="1">
      <c r="A44" s="154"/>
      <c r="B44" s="560" t="s">
        <v>440</v>
      </c>
      <c r="C44" s="561"/>
      <c r="D44" s="562"/>
      <c r="E44" s="560" t="s">
        <v>441</v>
      </c>
      <c r="F44" s="561"/>
      <c r="G44" s="561"/>
      <c r="H44" s="562"/>
      <c r="I44" s="223"/>
      <c r="J44" s="154"/>
      <c r="K44" s="548" t="s">
        <v>184</v>
      </c>
      <c r="L44" s="549"/>
      <c r="M44" s="550"/>
      <c r="N44" s="575" t="s">
        <v>411</v>
      </c>
      <c r="O44" s="576"/>
      <c r="P44" s="576"/>
      <c r="Q44" s="577"/>
      <c r="R44" s="155"/>
      <c r="S44" s="155"/>
      <c r="T44" s="155"/>
      <c r="U44" s="155"/>
      <c r="V44" s="155"/>
    </row>
    <row r="45" spans="1:45" ht="15" customHeight="1">
      <c r="A45" s="154"/>
      <c r="B45" s="563"/>
      <c r="C45" s="564"/>
      <c r="D45" s="565"/>
      <c r="E45" s="563"/>
      <c r="F45" s="564"/>
      <c r="G45" s="564"/>
      <c r="H45" s="565"/>
      <c r="I45" s="155"/>
      <c r="J45" s="154"/>
      <c r="K45" s="551"/>
      <c r="L45" s="552"/>
      <c r="M45" s="553"/>
      <c r="N45" s="578"/>
      <c r="O45" s="579"/>
      <c r="P45" s="579"/>
      <c r="Q45" s="580"/>
      <c r="S45" s="155"/>
      <c r="T45" s="155"/>
      <c r="U45" s="155"/>
      <c r="V45" s="155"/>
    </row>
    <row r="46" spans="1:45" ht="15" customHeight="1">
      <c r="A46" s="154"/>
      <c r="B46" s="560" t="s">
        <v>273</v>
      </c>
      <c r="C46" s="561"/>
      <c r="D46" s="562"/>
      <c r="E46" s="560" t="s">
        <v>388</v>
      </c>
      <c r="F46" s="561"/>
      <c r="G46" s="561"/>
      <c r="H46" s="562"/>
      <c r="I46" s="155"/>
      <c r="J46" s="154"/>
      <c r="K46" s="224" t="s">
        <v>185</v>
      </c>
      <c r="L46" s="225"/>
      <c r="M46" s="225"/>
      <c r="N46" s="226" t="s">
        <v>412</v>
      </c>
      <c r="O46" s="225"/>
      <c r="P46" s="225"/>
      <c r="Q46" s="227"/>
      <c r="R46" s="155"/>
      <c r="S46" s="155"/>
      <c r="T46" s="155"/>
      <c r="U46" s="155"/>
      <c r="V46" s="155"/>
    </row>
    <row r="47" spans="1:45" ht="15" customHeight="1">
      <c r="A47" s="154"/>
      <c r="B47" s="563"/>
      <c r="C47" s="564"/>
      <c r="D47" s="565"/>
      <c r="E47" s="563"/>
      <c r="F47" s="564"/>
      <c r="G47" s="564"/>
      <c r="H47" s="565"/>
      <c r="I47" s="155"/>
      <c r="J47" s="154"/>
      <c r="K47" s="228" t="s">
        <v>186</v>
      </c>
      <c r="L47" s="229"/>
      <c r="M47" s="229"/>
      <c r="N47" s="230" t="s">
        <v>413</v>
      </c>
      <c r="O47" s="229"/>
      <c r="P47" s="229"/>
      <c r="Q47" s="231"/>
      <c r="R47" s="155"/>
      <c r="S47" s="155"/>
      <c r="T47" s="155"/>
      <c r="U47" s="155"/>
      <c r="V47" s="155"/>
    </row>
    <row r="48" spans="1:45" ht="15" customHeight="1">
      <c r="A48" s="154"/>
      <c r="B48" s="560" t="s">
        <v>275</v>
      </c>
      <c r="C48" s="561"/>
      <c r="D48" s="562"/>
      <c r="E48" s="560" t="s">
        <v>391</v>
      </c>
      <c r="F48" s="561"/>
      <c r="G48" s="561"/>
      <c r="H48" s="562"/>
      <c r="I48" s="155"/>
      <c r="J48" s="154"/>
      <c r="K48" s="224" t="s">
        <v>187</v>
      </c>
      <c r="L48" s="225"/>
      <c r="M48" s="225"/>
      <c r="N48" s="226" t="s">
        <v>414</v>
      </c>
      <c r="O48" s="232"/>
      <c r="P48" s="232"/>
      <c r="Q48" s="233"/>
      <c r="R48" s="155"/>
      <c r="S48" s="155"/>
      <c r="T48" s="155"/>
      <c r="U48" s="155"/>
      <c r="V48" s="155"/>
    </row>
    <row r="49" spans="1:22" ht="15" customHeight="1">
      <c r="A49" s="154"/>
      <c r="B49" s="563"/>
      <c r="C49" s="564"/>
      <c r="D49" s="565"/>
      <c r="E49" s="563"/>
      <c r="F49" s="564"/>
      <c r="G49" s="564"/>
      <c r="H49" s="565"/>
      <c r="I49" s="155"/>
      <c r="J49" s="153"/>
      <c r="R49" s="155"/>
      <c r="S49" s="155"/>
      <c r="T49" s="155"/>
      <c r="U49" s="155"/>
      <c r="V49" s="155"/>
    </row>
    <row r="50" spans="1:22" ht="15" customHeight="1">
      <c r="A50" s="154"/>
      <c r="B50" s="572" t="s">
        <v>276</v>
      </c>
      <c r="C50" s="573"/>
      <c r="D50" s="574"/>
      <c r="E50" s="572" t="s">
        <v>393</v>
      </c>
      <c r="F50" s="573"/>
      <c r="G50" s="573"/>
      <c r="H50" s="574"/>
      <c r="I50" s="155"/>
      <c r="J50" s="154" t="s">
        <v>386</v>
      </c>
      <c r="K50" s="222" t="s">
        <v>432</v>
      </c>
      <c r="L50" s="155"/>
      <c r="M50" s="155"/>
      <c r="R50" s="155"/>
      <c r="S50" s="155"/>
      <c r="T50" s="155"/>
      <c r="U50" s="155"/>
      <c r="V50" s="155"/>
    </row>
    <row r="51" spans="1:22" ht="15" customHeight="1">
      <c r="A51" s="154"/>
      <c r="B51" s="572" t="s">
        <v>436</v>
      </c>
      <c r="C51" s="573"/>
      <c r="D51" s="574"/>
      <c r="E51" s="572" t="s">
        <v>438</v>
      </c>
      <c r="F51" s="573"/>
      <c r="G51" s="573"/>
      <c r="H51" s="574"/>
      <c r="I51" s="155"/>
      <c r="J51" s="154"/>
      <c r="K51" s="234" t="s">
        <v>387</v>
      </c>
      <c r="L51" s="155"/>
      <c r="M51" s="155"/>
      <c r="N51" s="155"/>
      <c r="R51" s="155"/>
      <c r="S51" s="155"/>
      <c r="T51" s="155"/>
      <c r="U51" s="155"/>
      <c r="V51" s="155"/>
    </row>
    <row r="52" spans="1:22" ht="15" customHeight="1">
      <c r="A52" s="154"/>
      <c r="B52" s="251" t="s">
        <v>278</v>
      </c>
      <c r="C52" s="252"/>
      <c r="D52" s="253"/>
      <c r="E52" s="563" t="s">
        <v>394</v>
      </c>
      <c r="F52" s="564"/>
      <c r="G52" s="564"/>
      <c r="H52" s="565"/>
      <c r="I52" s="155"/>
      <c r="R52" s="155"/>
      <c r="S52" s="155"/>
      <c r="T52" s="155"/>
      <c r="U52" s="155"/>
      <c r="V52" s="155"/>
    </row>
    <row r="53" spans="1:22" ht="15" customHeight="1">
      <c r="A53" s="154"/>
      <c r="B53" s="254" t="s">
        <v>279</v>
      </c>
      <c r="C53" s="255"/>
      <c r="D53" s="256"/>
      <c r="E53" s="572" t="s">
        <v>396</v>
      </c>
      <c r="F53" s="573"/>
      <c r="G53" s="573"/>
      <c r="H53" s="574"/>
      <c r="I53" s="155"/>
      <c r="J53" s="154" t="s">
        <v>376</v>
      </c>
      <c r="K53" s="222" t="s">
        <v>389</v>
      </c>
      <c r="L53" s="155"/>
      <c r="M53" s="155"/>
      <c r="N53" s="155"/>
      <c r="O53" s="155"/>
      <c r="P53" s="155"/>
      <c r="Q53" s="155"/>
      <c r="R53" s="155"/>
      <c r="S53" s="155"/>
      <c r="T53" s="155"/>
      <c r="U53" s="155"/>
      <c r="V53" s="155"/>
    </row>
    <row r="54" spans="1:22" ht="15" customHeight="1">
      <c r="A54" s="154"/>
      <c r="I54" s="155"/>
      <c r="J54" s="154"/>
      <c r="K54" s="235" t="s">
        <v>390</v>
      </c>
      <c r="R54" s="155"/>
      <c r="S54" s="155"/>
      <c r="T54" s="155"/>
      <c r="U54" s="155"/>
      <c r="V54" s="155"/>
    </row>
    <row r="55" spans="1:22" ht="15" customHeight="1">
      <c r="A55" s="154" t="s">
        <v>372</v>
      </c>
      <c r="B55" s="236" t="s">
        <v>399</v>
      </c>
      <c r="C55" s="155"/>
      <c r="D55" s="155"/>
      <c r="E55" s="155"/>
      <c r="F55" s="155"/>
      <c r="G55" s="155"/>
      <c r="H55" s="155"/>
      <c r="I55" s="155"/>
      <c r="J55" s="154"/>
      <c r="K55" s="237" t="s">
        <v>392</v>
      </c>
      <c r="L55" s="238"/>
      <c r="M55" s="238"/>
      <c r="N55" s="238"/>
      <c r="O55" s="238"/>
      <c r="P55" s="238"/>
      <c r="Q55" s="239"/>
      <c r="R55" s="155"/>
      <c r="S55" s="155"/>
      <c r="T55" s="155"/>
      <c r="U55" s="155"/>
      <c r="V55" s="155"/>
    </row>
    <row r="56" spans="1:22" ht="15" customHeight="1">
      <c r="A56" s="154"/>
      <c r="B56" s="234" t="s">
        <v>387</v>
      </c>
      <c r="C56" s="155"/>
      <c r="D56" s="155"/>
      <c r="E56" s="155"/>
      <c r="F56" s="155"/>
      <c r="G56" s="155"/>
      <c r="H56" s="155"/>
      <c r="I56" s="155"/>
      <c r="J56" s="154"/>
      <c r="K56" s="181" t="s">
        <v>354</v>
      </c>
      <c r="L56" s="240"/>
      <c r="M56" s="241" t="s">
        <v>395</v>
      </c>
      <c r="N56" s="242"/>
      <c r="O56" s="198"/>
      <c r="P56" s="198"/>
      <c r="Q56" s="199"/>
      <c r="R56" s="155"/>
      <c r="S56" s="155"/>
      <c r="T56" s="155"/>
      <c r="U56" s="155"/>
      <c r="V56" s="155"/>
    </row>
    <row r="57" spans="1:22">
      <c r="A57" s="154"/>
      <c r="B57" s="155"/>
      <c r="C57" s="155"/>
      <c r="D57" s="155"/>
      <c r="E57" s="155"/>
      <c r="F57" s="155"/>
      <c r="G57" s="155"/>
      <c r="H57" s="155"/>
      <c r="I57" s="155"/>
      <c r="J57" s="154"/>
      <c r="K57" s="243" t="s">
        <v>280</v>
      </c>
      <c r="L57" s="243"/>
      <c r="M57" s="201" t="s">
        <v>397</v>
      </c>
      <c r="N57" s="201"/>
      <c r="O57" s="159"/>
      <c r="P57" s="159"/>
      <c r="Q57" s="244"/>
      <c r="R57" s="155"/>
      <c r="S57" s="155"/>
      <c r="T57" s="155"/>
      <c r="U57" s="155"/>
      <c r="V57" s="155"/>
    </row>
    <row r="58" spans="1:22">
      <c r="A58" s="154" t="s">
        <v>403</v>
      </c>
      <c r="B58" s="222" t="s">
        <v>428</v>
      </c>
      <c r="C58" s="155"/>
      <c r="D58" s="155"/>
      <c r="E58" s="155"/>
      <c r="F58" s="155"/>
      <c r="G58" s="155"/>
      <c r="H58" s="155"/>
      <c r="I58" s="155"/>
      <c r="J58" s="154"/>
      <c r="K58" s="245" t="s">
        <v>355</v>
      </c>
      <c r="L58" s="245"/>
      <c r="M58" s="241" t="s">
        <v>398</v>
      </c>
      <c r="N58" s="242"/>
      <c r="O58" s="198"/>
      <c r="P58" s="198"/>
      <c r="Q58" s="199"/>
      <c r="R58" s="155"/>
      <c r="S58" s="155"/>
      <c r="T58" s="155"/>
      <c r="U58" s="155"/>
      <c r="V58" s="155"/>
    </row>
    <row r="59" spans="1:22">
      <c r="A59" s="154"/>
      <c r="B59" s="257" t="s">
        <v>429</v>
      </c>
      <c r="C59" s="249"/>
      <c r="D59" s="249"/>
      <c r="E59" s="248" t="s">
        <v>430</v>
      </c>
      <c r="F59" s="249"/>
      <c r="G59" s="249"/>
      <c r="H59" s="250"/>
      <c r="I59" s="155"/>
      <c r="J59" s="154"/>
      <c r="K59" s="245" t="s">
        <v>356</v>
      </c>
      <c r="L59" s="245"/>
      <c r="M59" s="159" t="s">
        <v>400</v>
      </c>
      <c r="N59" s="201"/>
      <c r="O59" s="159"/>
      <c r="P59" s="159"/>
      <c r="Q59" s="244"/>
      <c r="R59" s="155"/>
      <c r="S59" s="155"/>
      <c r="T59" s="155"/>
      <c r="U59" s="155"/>
      <c r="V59" s="155"/>
    </row>
    <row r="60" spans="1:22">
      <c r="A60" s="154"/>
      <c r="B60" s="179" t="s">
        <v>288</v>
      </c>
      <c r="C60" s="246"/>
      <c r="D60" s="246"/>
      <c r="E60" s="224" t="s">
        <v>431</v>
      </c>
      <c r="F60" s="246"/>
      <c r="G60" s="246"/>
      <c r="H60" s="247"/>
      <c r="I60" s="155"/>
      <c r="J60" s="154"/>
      <c r="K60" s="245" t="s">
        <v>401</v>
      </c>
      <c r="L60" s="245"/>
      <c r="M60" s="241" t="s">
        <v>402</v>
      </c>
      <c r="N60" s="242"/>
      <c r="O60" s="198"/>
      <c r="P60" s="198"/>
      <c r="Q60" s="199"/>
      <c r="R60" s="155"/>
      <c r="S60" s="155"/>
      <c r="T60" s="155"/>
      <c r="U60" s="155"/>
      <c r="V60" s="155"/>
    </row>
    <row r="61" spans="1:22">
      <c r="A61" s="154"/>
      <c r="B61" s="224" t="s">
        <v>293</v>
      </c>
      <c r="C61" s="246"/>
      <c r="D61" s="247"/>
      <c r="E61" s="225" t="s">
        <v>404</v>
      </c>
      <c r="F61" s="225"/>
      <c r="G61" s="225"/>
      <c r="H61" s="227"/>
      <c r="I61" s="155"/>
      <c r="J61" s="153"/>
      <c r="R61" s="155"/>
      <c r="S61" s="155"/>
      <c r="T61" s="155"/>
      <c r="U61" s="155"/>
      <c r="V61" s="155"/>
    </row>
    <row r="62" spans="1:22" ht="14.45" customHeight="1">
      <c r="A62" s="154"/>
      <c r="B62" s="548" t="s">
        <v>294</v>
      </c>
      <c r="C62" s="549"/>
      <c r="D62" s="550"/>
      <c r="E62" s="575" t="s">
        <v>405</v>
      </c>
      <c r="F62" s="576"/>
      <c r="G62" s="576"/>
      <c r="H62" s="577"/>
      <c r="I62" s="155"/>
      <c r="J62" s="153"/>
      <c r="R62" s="155"/>
      <c r="S62" s="155"/>
      <c r="T62" s="155"/>
      <c r="U62" s="155"/>
      <c r="V62" s="155"/>
    </row>
    <row r="63" spans="1:22">
      <c r="A63" s="154"/>
      <c r="B63" s="551"/>
      <c r="C63" s="552"/>
      <c r="D63" s="553"/>
      <c r="E63" s="578"/>
      <c r="F63" s="579"/>
      <c r="G63" s="579"/>
      <c r="H63" s="580"/>
      <c r="I63" s="155"/>
      <c r="J63" s="153"/>
      <c r="R63" s="155"/>
      <c r="S63" s="155"/>
      <c r="T63" s="155"/>
      <c r="U63" s="155"/>
      <c r="V63" s="155"/>
    </row>
    <row r="64" spans="1:22">
      <c r="A64" s="154"/>
      <c r="B64" s="155"/>
      <c r="C64" s="155"/>
      <c r="D64" s="155"/>
      <c r="E64" s="155"/>
      <c r="F64" s="155"/>
      <c r="G64" s="155"/>
      <c r="H64" s="155"/>
      <c r="I64" s="155"/>
      <c r="J64" s="154"/>
      <c r="R64" s="155"/>
      <c r="S64" s="155"/>
      <c r="T64" s="155"/>
      <c r="U64" s="155"/>
      <c r="V64" s="155"/>
    </row>
    <row r="65" spans="1:22">
      <c r="A65" s="153"/>
      <c r="I65" s="155"/>
      <c r="J65" s="154"/>
      <c r="R65" s="155"/>
      <c r="S65" s="155"/>
      <c r="T65" s="155"/>
      <c r="U65" s="155"/>
      <c r="V65" s="155"/>
    </row>
    <row r="66" spans="1:22">
      <c r="A66" s="153"/>
      <c r="I66" s="155"/>
      <c r="J66" s="154"/>
      <c r="K66" s="155"/>
      <c r="L66" s="155"/>
      <c r="M66" s="155"/>
      <c r="N66" s="155"/>
      <c r="O66" s="155"/>
      <c r="P66" s="155"/>
      <c r="Q66" s="155"/>
      <c r="R66" s="155"/>
      <c r="S66" s="155"/>
      <c r="T66" s="155"/>
      <c r="U66" s="155"/>
      <c r="V66" s="155"/>
    </row>
    <row r="67" spans="1:22">
      <c r="A67" s="153"/>
      <c r="I67" s="155"/>
      <c r="J67" s="154"/>
      <c r="K67" s="155"/>
      <c r="L67" s="155"/>
      <c r="M67" s="155"/>
      <c r="N67" s="155"/>
      <c r="O67" s="155"/>
      <c r="P67" s="155"/>
      <c r="Q67" s="155"/>
      <c r="R67" s="155"/>
      <c r="S67" s="155"/>
      <c r="T67" s="155"/>
      <c r="U67" s="155"/>
      <c r="V67" s="155"/>
    </row>
    <row r="68" spans="1:22">
      <c r="A68" s="153"/>
      <c r="I68" s="155"/>
      <c r="J68" s="154"/>
      <c r="K68" s="155"/>
      <c r="L68" s="155"/>
      <c r="M68" s="155"/>
      <c r="N68" s="155"/>
      <c r="O68" s="155"/>
      <c r="P68" s="155"/>
      <c r="Q68" s="155"/>
      <c r="R68" s="155"/>
      <c r="S68" s="155"/>
      <c r="T68" s="155"/>
      <c r="U68" s="155"/>
      <c r="V68" s="155"/>
    </row>
    <row r="69" spans="1:22">
      <c r="A69" s="153"/>
      <c r="I69" s="155"/>
      <c r="J69" s="154"/>
      <c r="K69" s="155"/>
      <c r="L69" s="155"/>
      <c r="M69" s="155"/>
      <c r="N69" s="155"/>
      <c r="O69" s="155"/>
      <c r="P69" s="155"/>
      <c r="Q69" s="155"/>
      <c r="R69" s="155"/>
      <c r="S69" s="155"/>
      <c r="T69" s="155"/>
      <c r="U69" s="155"/>
      <c r="V69" s="155"/>
    </row>
    <row r="70" spans="1:22" ht="14.45" customHeight="1">
      <c r="A70" s="153"/>
      <c r="I70" s="155"/>
      <c r="J70" s="154"/>
      <c r="K70" s="155"/>
      <c r="L70" s="155"/>
      <c r="M70" s="155"/>
      <c r="N70" s="155"/>
      <c r="O70" s="155"/>
      <c r="P70" s="155"/>
      <c r="Q70" s="155"/>
      <c r="R70" s="155"/>
      <c r="S70" s="155"/>
      <c r="T70" s="155"/>
      <c r="U70" s="155"/>
      <c r="V70" s="155"/>
    </row>
    <row r="71" spans="1:22">
      <c r="A71" s="153"/>
      <c r="I71" s="155"/>
      <c r="J71" s="154"/>
      <c r="K71" s="155"/>
      <c r="L71" s="155"/>
      <c r="M71" s="155"/>
      <c r="N71" s="155"/>
      <c r="O71" s="155"/>
      <c r="P71" s="155"/>
      <c r="Q71" s="155"/>
      <c r="R71" s="155"/>
      <c r="S71" s="155"/>
      <c r="T71" s="155"/>
      <c r="U71" s="155"/>
      <c r="V71" s="155"/>
    </row>
    <row r="72" spans="1:22">
      <c r="A72" s="153"/>
      <c r="I72" s="155"/>
      <c r="J72" s="154"/>
      <c r="K72" s="155"/>
      <c r="L72" s="155"/>
      <c r="M72" s="155"/>
      <c r="N72" s="155"/>
      <c r="O72" s="155"/>
      <c r="P72" s="155"/>
      <c r="Q72" s="155"/>
      <c r="R72" s="155"/>
      <c r="S72" s="155"/>
      <c r="T72" s="155"/>
      <c r="U72" s="155"/>
      <c r="V72" s="155"/>
    </row>
    <row r="73" spans="1:22" ht="14.45" customHeight="1">
      <c r="A73" s="153"/>
      <c r="I73" s="155"/>
      <c r="J73" s="154"/>
      <c r="K73" s="155"/>
      <c r="L73" s="155"/>
      <c r="M73" s="155"/>
      <c r="N73" s="155"/>
      <c r="O73" s="155"/>
      <c r="P73" s="155"/>
      <c r="Q73" s="155"/>
      <c r="R73" s="155"/>
      <c r="S73" s="155"/>
      <c r="T73" s="155"/>
      <c r="U73" s="155"/>
      <c r="V73" s="155"/>
    </row>
    <row r="74" spans="1:22">
      <c r="A74" s="154"/>
      <c r="B74" s="159"/>
      <c r="C74" s="159"/>
      <c r="D74" s="159"/>
      <c r="E74" s="159"/>
      <c r="F74" s="159"/>
      <c r="G74" s="159"/>
      <c r="H74" s="159"/>
      <c r="I74" s="155"/>
      <c r="J74" s="154"/>
      <c r="K74" s="155"/>
      <c r="L74" s="155"/>
      <c r="M74" s="155"/>
      <c r="N74" s="155"/>
      <c r="O74" s="155"/>
      <c r="P74" s="155"/>
      <c r="Q74" s="155"/>
      <c r="R74" s="155"/>
      <c r="S74" s="155"/>
      <c r="T74" s="155"/>
      <c r="U74" s="155"/>
      <c r="V74" s="155"/>
    </row>
    <row r="75" spans="1:22">
      <c r="F75" s="155"/>
      <c r="G75" s="155"/>
      <c r="H75" s="155"/>
      <c r="I75" s="155"/>
      <c r="J75" s="154"/>
      <c r="K75" s="155"/>
      <c r="L75" s="155"/>
      <c r="M75" s="155"/>
      <c r="N75" s="155"/>
      <c r="O75" s="155"/>
      <c r="P75" s="155"/>
      <c r="Q75" s="155"/>
      <c r="R75" s="155"/>
      <c r="S75" s="155"/>
      <c r="T75" s="155"/>
      <c r="U75" s="155"/>
      <c r="V75" s="155"/>
    </row>
    <row r="76" spans="1:22">
      <c r="F76" s="155"/>
      <c r="G76" s="155"/>
      <c r="H76" s="155"/>
      <c r="I76" s="155"/>
      <c r="J76" s="154"/>
      <c r="K76" s="155"/>
      <c r="L76" s="155"/>
      <c r="M76" s="155"/>
      <c r="N76" s="155"/>
      <c r="O76" s="155"/>
      <c r="P76" s="155"/>
      <c r="Q76" s="155"/>
      <c r="R76" s="155"/>
      <c r="S76" s="155"/>
      <c r="T76" s="155"/>
      <c r="U76" s="155"/>
      <c r="V76" s="155"/>
    </row>
    <row r="77" spans="1:22">
      <c r="A77" s="154"/>
      <c r="B77" s="155"/>
      <c r="C77" s="155"/>
      <c r="D77" s="155"/>
      <c r="E77" s="155"/>
      <c r="F77" s="155"/>
      <c r="G77" s="155"/>
      <c r="H77" s="155"/>
      <c r="I77" s="155"/>
      <c r="J77" s="154"/>
      <c r="K77" s="155"/>
      <c r="L77" s="155"/>
      <c r="M77" s="155"/>
      <c r="N77" s="155"/>
      <c r="O77" s="155"/>
      <c r="P77" s="155"/>
      <c r="Q77" s="155"/>
      <c r="R77" s="155"/>
      <c r="S77" s="155"/>
      <c r="T77" s="155"/>
      <c r="U77" s="155"/>
      <c r="V77" s="155"/>
    </row>
    <row r="78" spans="1:22">
      <c r="A78" s="154"/>
      <c r="B78" s="155"/>
      <c r="C78" s="155"/>
      <c r="D78" s="155"/>
      <c r="E78" s="155"/>
      <c r="F78" s="155"/>
      <c r="G78" s="155"/>
      <c r="H78" s="155"/>
      <c r="I78" s="155"/>
      <c r="J78" s="154"/>
      <c r="K78" s="155"/>
      <c r="L78" s="155"/>
      <c r="M78" s="155"/>
      <c r="N78" s="155"/>
      <c r="O78" s="155"/>
      <c r="P78" s="155"/>
      <c r="Q78" s="155"/>
      <c r="R78" s="155"/>
      <c r="S78" s="155"/>
      <c r="T78" s="155"/>
      <c r="U78" s="155"/>
      <c r="V78" s="155"/>
    </row>
    <row r="79" spans="1:22">
      <c r="A79" s="154"/>
      <c r="B79" s="155"/>
      <c r="C79" s="155"/>
      <c r="D79" s="155"/>
      <c r="E79" s="155"/>
      <c r="F79" s="155"/>
      <c r="G79" s="155"/>
      <c r="H79" s="155"/>
      <c r="I79" s="155"/>
      <c r="J79" s="154"/>
      <c r="K79" s="155"/>
      <c r="L79" s="155"/>
      <c r="M79" s="155"/>
      <c r="N79" s="155"/>
      <c r="O79" s="155"/>
      <c r="P79" s="155"/>
      <c r="Q79" s="155"/>
      <c r="R79" s="155"/>
      <c r="S79" s="155"/>
      <c r="T79" s="155"/>
      <c r="U79" s="155"/>
      <c r="V79" s="155"/>
    </row>
    <row r="80" spans="1:22">
      <c r="A80" s="154"/>
      <c r="B80" s="155"/>
      <c r="C80" s="155"/>
      <c r="D80" s="155"/>
      <c r="E80" s="155"/>
      <c r="F80" s="155"/>
      <c r="G80" s="155"/>
      <c r="H80" s="155"/>
      <c r="I80" s="155"/>
      <c r="J80" s="154"/>
      <c r="K80" s="155"/>
      <c r="L80" s="155"/>
      <c r="M80" s="155"/>
      <c r="N80" s="155"/>
      <c r="O80" s="155"/>
      <c r="P80" s="155"/>
      <c r="Q80" s="155"/>
      <c r="R80" s="155"/>
      <c r="S80" s="155"/>
      <c r="T80" s="155"/>
      <c r="U80" s="155"/>
      <c r="V80" s="155"/>
    </row>
    <row r="81" spans="1:22">
      <c r="A81" s="154"/>
      <c r="B81" s="155"/>
      <c r="C81" s="155"/>
      <c r="D81" s="155"/>
      <c r="E81" s="155"/>
      <c r="F81" s="155"/>
      <c r="G81" s="155"/>
      <c r="H81" s="155"/>
      <c r="I81" s="155"/>
      <c r="J81" s="154"/>
      <c r="K81" s="155"/>
      <c r="L81" s="155"/>
      <c r="M81" s="155"/>
      <c r="N81" s="155"/>
      <c r="O81" s="155"/>
      <c r="P81" s="155"/>
      <c r="Q81" s="155"/>
      <c r="R81" s="155"/>
      <c r="S81" s="155"/>
      <c r="T81" s="155"/>
      <c r="U81" s="155"/>
      <c r="V81" s="155"/>
    </row>
    <row r="82" spans="1:22">
      <c r="A82" s="154"/>
      <c r="B82" s="155"/>
      <c r="C82" s="155"/>
      <c r="D82" s="155"/>
      <c r="E82" s="155"/>
      <c r="F82" s="155"/>
      <c r="G82" s="155"/>
      <c r="H82" s="155"/>
      <c r="I82" s="155"/>
      <c r="J82" s="154"/>
      <c r="K82" s="155"/>
      <c r="L82" s="155"/>
      <c r="M82" s="155"/>
      <c r="N82" s="155"/>
      <c r="O82" s="155"/>
      <c r="P82" s="155"/>
      <c r="Q82" s="155"/>
      <c r="R82" s="155"/>
      <c r="S82" s="155"/>
      <c r="T82" s="155"/>
      <c r="U82" s="155"/>
      <c r="V82" s="155"/>
    </row>
    <row r="83" spans="1:22">
      <c r="A83" s="154"/>
      <c r="B83" s="155"/>
      <c r="C83" s="155"/>
      <c r="D83" s="155"/>
      <c r="E83" s="155"/>
      <c r="F83" s="155"/>
      <c r="G83" s="155"/>
      <c r="H83" s="155"/>
      <c r="I83" s="155"/>
      <c r="J83" s="154"/>
      <c r="K83" s="155"/>
      <c r="L83" s="155"/>
      <c r="M83" s="155"/>
      <c r="N83" s="155"/>
      <c r="O83" s="155"/>
      <c r="P83" s="155"/>
      <c r="Q83" s="155"/>
      <c r="R83" s="155"/>
      <c r="S83" s="155"/>
      <c r="T83" s="155"/>
      <c r="U83" s="155"/>
      <c r="V83" s="155"/>
    </row>
    <row r="84" spans="1:22">
      <c r="A84" s="154"/>
      <c r="B84" s="155"/>
      <c r="C84" s="155"/>
      <c r="D84" s="155"/>
      <c r="E84" s="155"/>
      <c r="F84" s="155"/>
      <c r="G84" s="155"/>
      <c r="H84" s="155"/>
      <c r="I84" s="155"/>
      <c r="J84" s="154"/>
      <c r="K84" s="155"/>
      <c r="L84" s="155"/>
      <c r="M84" s="155"/>
      <c r="N84" s="155"/>
      <c r="O84" s="155"/>
      <c r="P84" s="155"/>
      <c r="Q84" s="155"/>
      <c r="R84" s="155"/>
      <c r="S84" s="155"/>
      <c r="T84" s="155"/>
      <c r="U84" s="155"/>
      <c r="V84" s="155"/>
    </row>
  </sheetData>
  <sheetProtection algorithmName="SHA-512" hashValue="LoE+hTG6NB0QNm/yLDapzyZulCt/49gCp2DnQTDKv0I/8vRG7KNC9fwHNqHsym0KOL14qljogE2TLI5yu+5FDA==" saltValue="Kmu+IzaiQK0NKVCO0wyvzA==" spinCount="100000" sheet="1" objects="1" scenarios="1"/>
  <mergeCells count="54">
    <mergeCell ref="A1:U3"/>
    <mergeCell ref="A4:AE4"/>
    <mergeCell ref="K9:L10"/>
    <mergeCell ref="M9:P10"/>
    <mergeCell ref="B20:D20"/>
    <mergeCell ref="E20:H20"/>
    <mergeCell ref="M18:P18"/>
    <mergeCell ref="M12:P12"/>
    <mergeCell ref="K14:L16"/>
    <mergeCell ref="M14:P16"/>
    <mergeCell ref="Q9:Q18"/>
    <mergeCell ref="K6:L6"/>
    <mergeCell ref="K23:L24"/>
    <mergeCell ref="M23:P24"/>
    <mergeCell ref="Q21:Q30"/>
    <mergeCell ref="E46:H47"/>
    <mergeCell ref="E31:H32"/>
    <mergeCell ref="E33:H34"/>
    <mergeCell ref="E21:H21"/>
    <mergeCell ref="E35:H35"/>
    <mergeCell ref="K21:L22"/>
    <mergeCell ref="M21:P22"/>
    <mergeCell ref="K25:L27"/>
    <mergeCell ref="M25:P27"/>
    <mergeCell ref="K28:L30"/>
    <mergeCell ref="M28:P30"/>
    <mergeCell ref="E41:H43"/>
    <mergeCell ref="N44:Q45"/>
    <mergeCell ref="E53:H53"/>
    <mergeCell ref="B62:D63"/>
    <mergeCell ref="E62:H63"/>
    <mergeCell ref="B46:D47"/>
    <mergeCell ref="B44:D45"/>
    <mergeCell ref="E44:H45"/>
    <mergeCell ref="E52:H52"/>
    <mergeCell ref="B48:D49"/>
    <mergeCell ref="E48:H49"/>
    <mergeCell ref="E50:H50"/>
    <mergeCell ref="B50:D50"/>
    <mergeCell ref="B51:D51"/>
    <mergeCell ref="E51:H51"/>
    <mergeCell ref="B27:D28"/>
    <mergeCell ref="E22:H22"/>
    <mergeCell ref="E23:H23"/>
    <mergeCell ref="B25:D26"/>
    <mergeCell ref="E25:H26"/>
    <mergeCell ref="E27:H28"/>
    <mergeCell ref="E24:H24"/>
    <mergeCell ref="K44:M45"/>
    <mergeCell ref="B33:D34"/>
    <mergeCell ref="B29:D30"/>
    <mergeCell ref="B31:D32"/>
    <mergeCell ref="E29:H30"/>
    <mergeCell ref="B41:D43"/>
  </mergeCells>
  <hyperlinks>
    <hyperlink ref="K6" location="'Table of Contents'!B17" display="Table of Contents" xr:uid="{CE3F7C79-4658-4D96-A603-D32A5F806625}"/>
  </hyperlinks>
  <pageMargins left="0.7" right="0.7" top="0.75" bottom="0.75" header="0.3" footer="0.3"/>
  <pageSetup orientation="portrait" r:id="rId1"/>
  <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2"/>
  <dimension ref="A1:CD111"/>
  <sheetViews>
    <sheetView showGridLines="0" showRowColHeaders="0" zoomScale="55" zoomScaleNormal="55" workbookViewId="0">
      <selection activeCell="K7" sqref="K7:L7"/>
    </sheetView>
  </sheetViews>
  <sheetFormatPr defaultColWidth="8.73046875" defaultRowHeight="14.25"/>
  <cols>
    <col min="1" max="1" width="2.59765625" style="14" customWidth="1"/>
    <col min="2" max="2" width="20.59765625" style="14" customWidth="1"/>
    <col min="3" max="3" width="17.1328125" style="14" customWidth="1"/>
    <col min="4" max="4" width="22.1328125" style="14" customWidth="1"/>
    <col min="5" max="5" width="17.1328125" style="14" customWidth="1"/>
    <col min="6" max="6" width="5.59765625" style="14" customWidth="1"/>
    <col min="7" max="7" width="17.1328125" style="14" customWidth="1"/>
    <col min="8" max="8" width="5.59765625" style="14" customWidth="1"/>
    <col min="9" max="9" width="14.59765625" style="14" customWidth="1"/>
    <col min="10" max="10" width="11.1328125" style="14" customWidth="1"/>
    <col min="11" max="11" width="7.59765625" style="14" customWidth="1"/>
    <col min="12" max="12" width="15.1328125" style="14" customWidth="1"/>
    <col min="13" max="13" width="2.86328125" style="14" customWidth="1"/>
    <col min="14" max="14" width="26.59765625" style="14" customWidth="1"/>
    <col min="15" max="15" width="11.73046875" style="14" customWidth="1"/>
    <col min="16" max="16" width="18.1328125" style="14" customWidth="1"/>
    <col min="17" max="17" width="12.73046875" style="14" customWidth="1"/>
    <col min="18" max="18" width="37.6640625" style="14" customWidth="1"/>
    <col min="19" max="19" width="17" style="14" customWidth="1"/>
    <col min="20" max="20" width="26" style="14" customWidth="1"/>
    <col min="21" max="21" width="23.59765625" style="14" customWidth="1"/>
    <col min="22" max="23" width="26.59765625" style="14" customWidth="1"/>
    <col min="24" max="24" width="8.86328125" style="14" customWidth="1"/>
    <col min="25" max="25" width="26.3984375" style="14" customWidth="1"/>
    <col min="26" max="54" width="20.265625" style="14" customWidth="1"/>
    <col min="55" max="55" width="20.265625" style="14" hidden="1" customWidth="1"/>
    <col min="56" max="56" width="12.265625" style="14" hidden="1" customWidth="1"/>
    <col min="57" max="57" width="9.59765625" style="14" hidden="1" customWidth="1"/>
    <col min="58" max="58" width="15" style="14" hidden="1" customWidth="1"/>
    <col min="59" max="59" width="13.265625" style="14" hidden="1" customWidth="1"/>
    <col min="60" max="60" width="9.1328125" style="14" hidden="1" customWidth="1"/>
    <col min="61" max="61" width="24.265625" style="14" hidden="1" customWidth="1"/>
    <col min="62" max="62" width="14.3984375" style="14" hidden="1" customWidth="1"/>
    <col min="63" max="63" width="9.1328125" style="14" hidden="1" customWidth="1"/>
    <col min="64" max="64" width="20.73046875" style="14" hidden="1" customWidth="1"/>
    <col min="65" max="65" width="12" style="14" hidden="1" customWidth="1"/>
    <col min="66" max="66" width="13.86328125" style="14" hidden="1" customWidth="1"/>
    <col min="67" max="67" width="12" style="14" hidden="1" customWidth="1"/>
    <col min="68" max="68" width="9.1328125" style="14" hidden="1" customWidth="1"/>
    <col min="69" max="69" width="18.73046875" style="14" hidden="1" customWidth="1"/>
    <col min="70" max="70" width="8.59765625" style="14" hidden="1" customWidth="1"/>
    <col min="71" max="73" width="9.1328125" style="14" hidden="1" customWidth="1"/>
    <col min="74" max="74" width="10.3984375" style="14" hidden="1" customWidth="1"/>
    <col min="75" max="75" width="10" style="14" hidden="1" customWidth="1"/>
    <col min="76" max="77" width="9.1328125" style="14" hidden="1" customWidth="1"/>
    <col min="78" max="78" width="9.59765625" style="14" hidden="1" customWidth="1"/>
    <col min="79" max="79" width="11.1328125" style="14" hidden="1" customWidth="1"/>
    <col min="80" max="80" width="12.73046875" style="14" hidden="1" customWidth="1"/>
    <col min="81" max="81" width="9.1328125" style="14" hidden="1" customWidth="1"/>
    <col min="82" max="82" width="8.73046875" style="14" hidden="1" customWidth="1"/>
    <col min="83" max="83" width="8.73046875" style="14" customWidth="1"/>
    <col min="84" max="16384" width="8.73046875" style="14"/>
  </cols>
  <sheetData>
    <row r="1" spans="1:80" ht="15" customHeight="1">
      <c r="A1" s="751"/>
      <c r="B1" s="751"/>
      <c r="C1" s="751"/>
      <c r="D1" s="751"/>
      <c r="E1" s="751"/>
      <c r="F1" s="751"/>
      <c r="G1" s="751"/>
      <c r="H1" s="751"/>
      <c r="I1" s="751"/>
      <c r="J1" s="751"/>
      <c r="K1" s="751"/>
    </row>
    <row r="2" spans="1:80" ht="15" customHeight="1" thickBot="1">
      <c r="A2" s="751"/>
      <c r="B2" s="751"/>
      <c r="C2" s="751"/>
      <c r="D2" s="751"/>
      <c r="E2" s="751"/>
      <c r="F2" s="751"/>
      <c r="G2" s="751"/>
      <c r="H2" s="751"/>
      <c r="I2" s="751"/>
      <c r="J2" s="751"/>
      <c r="K2" s="751"/>
      <c r="N2" s="754" t="s">
        <v>8</v>
      </c>
      <c r="O2" s="754"/>
    </row>
    <row r="3" spans="1:80" ht="15" customHeight="1">
      <c r="A3" s="751"/>
      <c r="B3" s="751"/>
      <c r="C3" s="751"/>
      <c r="D3" s="751"/>
      <c r="E3" s="751"/>
      <c r="F3" s="751"/>
      <c r="G3" s="751"/>
      <c r="H3" s="751"/>
      <c r="I3" s="751"/>
      <c r="J3" s="751"/>
      <c r="K3" s="751"/>
    </row>
    <row r="4" spans="1:80" ht="15" customHeight="1">
      <c r="A4" s="747"/>
      <c r="B4" s="747"/>
      <c r="C4" s="747"/>
      <c r="D4" s="747"/>
      <c r="E4" s="747"/>
      <c r="F4" s="747"/>
      <c r="G4" s="747"/>
      <c r="H4" s="747"/>
      <c r="I4" s="747"/>
      <c r="J4" s="747"/>
      <c r="K4" s="747"/>
      <c r="L4" s="747"/>
      <c r="M4" s="747"/>
      <c r="N4" s="747"/>
      <c r="O4" s="747"/>
      <c r="P4" s="747"/>
      <c r="Q4" s="747"/>
      <c r="R4" s="747"/>
      <c r="S4" s="747"/>
      <c r="T4" s="747"/>
      <c r="U4" s="747"/>
      <c r="V4" s="747"/>
      <c r="W4" s="747"/>
      <c r="X4" s="747"/>
      <c r="Y4" s="747"/>
      <c r="Z4" s="747"/>
      <c r="AA4" s="747"/>
      <c r="AB4" s="747"/>
      <c r="AC4" s="747"/>
      <c r="AD4" s="747"/>
      <c r="AE4" s="747"/>
      <c r="AF4" s="747"/>
      <c r="AG4" s="747"/>
      <c r="AH4" s="747"/>
      <c r="AI4" s="747"/>
      <c r="AJ4" s="747"/>
      <c r="AK4" s="747"/>
      <c r="AL4" s="747"/>
      <c r="AM4" s="747"/>
      <c r="AN4" s="747"/>
      <c r="AO4" s="747"/>
      <c r="AP4" s="747"/>
      <c r="AQ4" s="747"/>
      <c r="AR4" s="747"/>
      <c r="AS4" s="747"/>
      <c r="AT4" s="747"/>
      <c r="AU4" s="747"/>
      <c r="AV4" s="747"/>
      <c r="AW4" s="747"/>
      <c r="AX4" s="747"/>
      <c r="AY4" s="747"/>
      <c r="AZ4" s="747"/>
      <c r="BA4" s="747"/>
      <c r="BB4" s="747"/>
      <c r="BC4" s="747"/>
      <c r="BD4" s="747"/>
      <c r="BE4" s="747"/>
      <c r="BF4" s="747"/>
      <c r="BG4" s="747"/>
      <c r="BH4" s="747"/>
      <c r="BI4" s="747"/>
      <c r="BJ4" s="747"/>
      <c r="BK4" s="747"/>
      <c r="BL4" s="747"/>
      <c r="BM4" s="747"/>
      <c r="BN4" s="747"/>
      <c r="BO4" s="747"/>
      <c r="BP4" s="747"/>
      <c r="BQ4" s="747"/>
      <c r="BR4" s="747"/>
    </row>
    <row r="5" spans="1:80" ht="15" customHeight="1" thickBot="1"/>
    <row r="6" spans="1:80" ht="17.100000000000001" customHeight="1" thickBot="1">
      <c r="B6" s="493" t="str">
        <f>IF(K7="[Select Configuration]","selectConfig",IF(K7="Differential without R3'","withoutR3",IF(K7="Differential with R3'","withR3",IF(K7="Single-Ended","single",IF(K7="Integrated Resistor Divider","IntRdiv"," ")))))</f>
        <v>selectConfig</v>
      </c>
      <c r="C6" s="493"/>
      <c r="D6" s="493"/>
      <c r="G6" s="691" t="s">
        <v>18</v>
      </c>
      <c r="H6" s="692"/>
      <c r="I6" s="692"/>
      <c r="J6" s="692"/>
      <c r="K6" s="692"/>
      <c r="L6" s="693"/>
      <c r="N6" s="745" t="str">
        <f>IF(BM13&lt;0,"Invalid inputs. Increase Peak High Voltage or reduce R1 &amp; R2 resistance.","")</f>
        <v/>
      </c>
      <c r="O6" s="745"/>
      <c r="P6" s="745"/>
      <c r="Q6" s="745"/>
      <c r="R6" s="15"/>
      <c r="BS6" s="14" t="s">
        <v>119</v>
      </c>
      <c r="BT6" s="14" t="s">
        <v>129</v>
      </c>
      <c r="BU6" s="14" t="s">
        <v>130</v>
      </c>
      <c r="BV6" s="14" t="s">
        <v>131</v>
      </c>
      <c r="BW6" s="14" t="s">
        <v>132</v>
      </c>
      <c r="BX6" s="14" t="s">
        <v>133</v>
      </c>
      <c r="BY6" s="14" t="s">
        <v>134</v>
      </c>
      <c r="BZ6" s="14" t="s">
        <v>135</v>
      </c>
      <c r="CA6" s="14" t="s">
        <v>136</v>
      </c>
      <c r="CB6" s="14" t="s">
        <v>137</v>
      </c>
    </row>
    <row r="7" spans="1:80" ht="15" customHeight="1" thickBot="1">
      <c r="B7" s="493"/>
      <c r="C7" s="493"/>
      <c r="D7" s="493"/>
      <c r="E7" s="16"/>
      <c r="G7" s="733" t="s">
        <v>449</v>
      </c>
      <c r="H7" s="734"/>
      <c r="I7" s="734"/>
      <c r="J7" s="734"/>
      <c r="K7" s="755" t="s">
        <v>59</v>
      </c>
      <c r="L7" s="756"/>
      <c r="N7" s="744" t="str">
        <f>IF(OR(K8="[Select Device]",K7="[Select Configuration]")," ",IF(K7="Differential without R3'",IF(VLOOKUP(K8, Devices[], COLUMN(Devices[Differential Input Resistance]),0)&lt;30000,"This device has low input impedance and is optimized for current sensing. Please consider using a device with higher input impedance or the differential with R3' configuration to reduce gain errors.", ""),IF(VLOOKUP(K8, Devices[], COLUMN(Devices[Differential Input Resistance]),0)&lt;30000,"This device has low input impedance and is optimized for current sensing. Please consider using a device with higher input impedance.", IF(K7 = "Integrated Resistor Divider", "This device contains an integrated resistor divider."," "))))</f>
        <v xml:space="preserve"> </v>
      </c>
      <c r="O7" s="744"/>
      <c r="P7" s="744"/>
      <c r="Q7" s="744"/>
      <c r="BS7" s="17">
        <v>10</v>
      </c>
      <c r="BT7" s="18">
        <f>Table3[[#This Row],[R]]*10</f>
        <v>100</v>
      </c>
      <c r="BU7" s="19">
        <f>Table3[[#This Row],[R2]]*10</f>
        <v>1000</v>
      </c>
      <c r="BV7" s="19">
        <f>Table3[[#This Row],[R3]]*10</f>
        <v>10000</v>
      </c>
      <c r="BW7" s="19">
        <f>Table3[[#This Row],[R4]]*10</f>
        <v>100000</v>
      </c>
      <c r="BX7" s="20">
        <f>Table3[[#This Row],[R]]/10</f>
        <v>1</v>
      </c>
      <c r="BY7" s="20">
        <f>Table3[[#This Row],[R6]]/10</f>
        <v>0.1</v>
      </c>
      <c r="BZ7" s="20">
        <f>Table3[[#This Row],[R7]]/10</f>
        <v>0.01</v>
      </c>
      <c r="CA7" s="20">
        <f>Table3[[#This Row],[R8]]/10</f>
        <v>1E-3</v>
      </c>
      <c r="CB7" s="20">
        <f>Table3[[#This Row],[R9]]/10</f>
        <v>1E-4</v>
      </c>
    </row>
    <row r="8" spans="1:80" ht="15" customHeight="1" thickBot="1">
      <c r="B8" s="493"/>
      <c r="C8" s="493"/>
      <c r="D8" s="493"/>
      <c r="G8" s="735" t="s">
        <v>54</v>
      </c>
      <c r="H8" s="736"/>
      <c r="I8" s="736"/>
      <c r="J8" s="736"/>
      <c r="K8" s="757" t="s">
        <v>60</v>
      </c>
      <c r="L8" s="758"/>
      <c r="N8" s="744"/>
      <c r="O8" s="744"/>
      <c r="P8" s="744"/>
      <c r="Q8" s="744"/>
      <c r="BF8" s="737" t="s">
        <v>160</v>
      </c>
      <c r="BG8" s="738"/>
      <c r="BH8" s="21" t="s">
        <v>118</v>
      </c>
      <c r="BI8" s="737" t="s">
        <v>157</v>
      </c>
      <c r="BJ8" s="738"/>
      <c r="BL8" s="737" t="s">
        <v>163</v>
      </c>
      <c r="BM8" s="748"/>
      <c r="BN8" s="748"/>
      <c r="BO8" s="738"/>
      <c r="BQ8" s="737" t="s">
        <v>139</v>
      </c>
      <c r="BR8" s="738"/>
      <c r="BS8" s="22">
        <v>10.199999999999999</v>
      </c>
      <c r="BT8" s="18">
        <f>Table3[[#This Row],[R]]*10</f>
        <v>102</v>
      </c>
      <c r="BU8" s="19">
        <f>Table3[[#This Row],[R2]]*10</f>
        <v>1020</v>
      </c>
      <c r="BV8" s="19">
        <f>Table3[[#This Row],[R3]]*10</f>
        <v>10200</v>
      </c>
      <c r="BW8" s="19">
        <f>Table3[[#This Row],[R4]]*10</f>
        <v>102000</v>
      </c>
      <c r="BX8" s="20">
        <f>Table3[[#This Row],[R]]/10</f>
        <v>1.02</v>
      </c>
      <c r="BY8" s="20">
        <f>Table3[[#This Row],[R6]]/10</f>
        <v>0.10200000000000001</v>
      </c>
      <c r="BZ8" s="20">
        <f>Table3[[#This Row],[R7]]/10</f>
        <v>1.0200000000000001E-2</v>
      </c>
      <c r="CA8" s="20">
        <f>Table3[[#This Row],[R8]]/10</f>
        <v>1.0200000000000001E-3</v>
      </c>
      <c r="CB8" s="20">
        <f>Table3[[#This Row],[R9]]/10</f>
        <v>1.0200000000000001E-4</v>
      </c>
    </row>
    <row r="9" spans="1:80" ht="15" customHeight="1" thickBot="1">
      <c r="B9" s="493"/>
      <c r="C9" s="493"/>
      <c r="D9" s="493"/>
      <c r="G9" s="706" t="s">
        <v>87</v>
      </c>
      <c r="H9" s="707"/>
      <c r="I9" s="707"/>
      <c r="J9" s="708"/>
      <c r="K9" s="759">
        <v>1000</v>
      </c>
      <c r="L9" s="760"/>
      <c r="M9" s="23"/>
      <c r="N9" s="14" t="str">
        <f>IF(OR(K8="[Select Device]",K7="[Select Configuration]")," ",IF(K7="Integrated Resistor Divider","Please reference the device datasheet for linear input range.", " "))</f>
        <v xml:space="preserve"> </v>
      </c>
      <c r="P9" s="24"/>
      <c r="Q9" s="24"/>
      <c r="BF9" s="25" t="s">
        <v>86</v>
      </c>
      <c r="BG9" s="26">
        <f>(K12/1000)/K9</f>
        <v>1E-3</v>
      </c>
      <c r="BH9" s="25"/>
      <c r="BI9" s="27" t="s">
        <v>89</v>
      </c>
      <c r="BJ9" s="28" t="e">
        <f>BJ10*0.85</f>
        <v>#VALUE!</v>
      </c>
      <c r="BL9" s="737" t="s">
        <v>164</v>
      </c>
      <c r="BM9" s="738"/>
      <c r="BN9" s="748" t="s">
        <v>126</v>
      </c>
      <c r="BO9" s="738"/>
      <c r="BQ9" s="25" t="s">
        <v>165</v>
      </c>
      <c r="BR9" s="29" t="str">
        <f>IF(OR(K8="[Select Device]",K7="[Select Configuration]")," ",IF(OR(K7="Differential without R3'",K7="Single-Ended"),BM18,BO10))</f>
        <v xml:space="preserve"> </v>
      </c>
      <c r="BS9" s="22">
        <v>10.5</v>
      </c>
      <c r="BT9" s="18">
        <f>Table3[[#This Row],[R]]*10</f>
        <v>105</v>
      </c>
      <c r="BU9" s="19">
        <f>Table3[[#This Row],[R2]]*10</f>
        <v>1050</v>
      </c>
      <c r="BV9" s="19">
        <f>Table3[[#This Row],[R3]]*10</f>
        <v>10500</v>
      </c>
      <c r="BW9" s="19">
        <f>Table3[[#This Row],[R4]]*10</f>
        <v>105000</v>
      </c>
      <c r="BX9" s="20">
        <f>Table3[[#This Row],[R]]/10</f>
        <v>1.05</v>
      </c>
      <c r="BY9" s="20">
        <f>Table3[[#This Row],[R6]]/10</f>
        <v>0.10500000000000001</v>
      </c>
      <c r="BZ9" s="20">
        <f>Table3[[#This Row],[R7]]/10</f>
        <v>1.0500000000000001E-2</v>
      </c>
      <c r="CA9" s="20">
        <f>Table3[[#This Row],[R8]]/10</f>
        <v>1.0500000000000002E-3</v>
      </c>
      <c r="CB9" s="20">
        <f>Table3[[#This Row],[R9]]/10</f>
        <v>1.0500000000000002E-4</v>
      </c>
    </row>
    <row r="10" spans="1:80" ht="15" customHeight="1" thickBot="1">
      <c r="B10" s="493"/>
      <c r="C10" s="493"/>
      <c r="D10" s="493"/>
      <c r="G10" s="706" t="s">
        <v>41</v>
      </c>
      <c r="H10" s="707"/>
      <c r="I10" s="707"/>
      <c r="J10" s="708"/>
      <c r="K10" s="767">
        <v>12500000</v>
      </c>
      <c r="L10" s="768"/>
      <c r="M10" s="23"/>
      <c r="N10" s="14" t="str">
        <f>IF(OR(K8="[Select Device]",K7="[Select Configuration]")," ",IF(K7="Integrated Resistor Divider","Please set R1 Resistance to high ohmic value R1 as specified in datasheet and R2 Resistance to 0Ω."," "))</f>
        <v xml:space="preserve"> </v>
      </c>
      <c r="Q10" s="24"/>
      <c r="BF10" s="25" t="s">
        <v>198</v>
      </c>
      <c r="BG10" s="26" t="e">
        <f>(((2*K13)+BJ10)/((2*K13+BJ10)+K18+(1/((1/(K10+K11))+(1/K17)))))*K17/((K10+K11)+K17)</f>
        <v>#VALUE!</v>
      </c>
      <c r="BH10" s="31" t="e">
        <f>BG10*BG21</f>
        <v>#VALUE!</v>
      </c>
      <c r="BI10" s="32" t="s">
        <v>91</v>
      </c>
      <c r="BJ10" s="33" t="str">
        <f>IF(K7="[Select Configuration]", " ", IF(K8="[Select Device]", "e in the User Inputs.  ", VLOOKUP(K8, Devices[], COLUMN(Devices[Differential Input Resistance]), 0)))</f>
        <v xml:space="preserve"> </v>
      </c>
      <c r="BL10" s="34" t="s">
        <v>177</v>
      </c>
      <c r="BM10" s="35"/>
      <c r="BN10" s="24" t="s">
        <v>183</v>
      </c>
      <c r="BO10" s="29" t="e">
        <f>((BG9*(K10+K11)))/(1-BG9-BG9*(2*(K10+K11))/(2*K13+BJ10))</f>
        <v>#VALUE!</v>
      </c>
      <c r="BQ10" s="25" t="s">
        <v>166</v>
      </c>
      <c r="BR10" s="29">
        <f t="array" ref="BR10">MAX(IF(Table3[]&lt;=BR9,Table3[]))</f>
        <v>976000</v>
      </c>
      <c r="BS10" s="22">
        <v>10.7</v>
      </c>
      <c r="BT10" s="18">
        <f>Table3[[#This Row],[R]]*10</f>
        <v>107</v>
      </c>
      <c r="BU10" s="19">
        <f>Table3[[#This Row],[R2]]*10</f>
        <v>1070</v>
      </c>
      <c r="BV10" s="19">
        <f>Table3[[#This Row],[R3]]*10</f>
        <v>10700</v>
      </c>
      <c r="BW10" s="19">
        <f>Table3[[#This Row],[R4]]*10</f>
        <v>107000</v>
      </c>
      <c r="BX10" s="20">
        <f>Table3[[#This Row],[R]]/10</f>
        <v>1.0699999999999998</v>
      </c>
      <c r="BY10" s="20">
        <f>Table3[[#This Row],[R6]]/10</f>
        <v>0.10699999999999998</v>
      </c>
      <c r="BZ10" s="20">
        <f>Table3[[#This Row],[R7]]/10</f>
        <v>1.0699999999999998E-2</v>
      </c>
      <c r="CA10" s="20">
        <f>Table3[[#This Row],[R8]]/10</f>
        <v>1.0699999999999998E-3</v>
      </c>
      <c r="CB10" s="20">
        <f>Table3[[#This Row],[R9]]/10</f>
        <v>1.0699999999999997E-4</v>
      </c>
    </row>
    <row r="11" spans="1:80" ht="15" customHeight="1" thickBot="1">
      <c r="B11" s="493"/>
      <c r="C11" s="493"/>
      <c r="D11" s="493"/>
      <c r="G11" s="706" t="s">
        <v>40</v>
      </c>
      <c r="H11" s="707"/>
      <c r="I11" s="707"/>
      <c r="J11" s="708"/>
      <c r="K11" s="767">
        <v>0</v>
      </c>
      <c r="L11" s="768"/>
      <c r="M11" s="23"/>
      <c r="N11" s="632" t="str">
        <f>IF(OR(K8="[Select Device]",K7="[Select Configuration]")," ",IF(K7="Integrated Resistor Divider","Please set Applied Full-Scale Voltage, R3 to be 1000mV which maximizes linear input voltage range to the internal ADC.", " "))</f>
        <v xml:space="preserve"> </v>
      </c>
      <c r="O11" s="632"/>
      <c r="P11" s="632"/>
      <c r="Q11" s="632"/>
      <c r="R11" s="632"/>
      <c r="BF11" s="25" t="s">
        <v>88</v>
      </c>
      <c r="BG11" s="26">
        <v>0</v>
      </c>
      <c r="BH11" s="25"/>
      <c r="BI11" s="37" t="s">
        <v>90</v>
      </c>
      <c r="BJ11" s="38" t="e">
        <f>BJ10*1.15</f>
        <v>#VALUE!</v>
      </c>
      <c r="BL11" s="25" t="s">
        <v>167</v>
      </c>
      <c r="BM11" s="39">
        <f>K12</f>
        <v>1000</v>
      </c>
      <c r="BN11" s="24" t="s">
        <v>182</v>
      </c>
      <c r="BO11" s="29">
        <f>BR10</f>
        <v>976000</v>
      </c>
      <c r="BQ11" s="40" t="s">
        <v>138</v>
      </c>
      <c r="BR11" s="41"/>
      <c r="BS11" s="22">
        <v>11</v>
      </c>
      <c r="BT11" s="18">
        <f>Table3[[#This Row],[R]]*10</f>
        <v>110</v>
      </c>
      <c r="BU11" s="19">
        <f>Table3[[#This Row],[R2]]*10</f>
        <v>1100</v>
      </c>
      <c r="BV11" s="19">
        <f>Table3[[#This Row],[R3]]*10</f>
        <v>11000</v>
      </c>
      <c r="BW11" s="19">
        <f>Table3[[#This Row],[R4]]*10</f>
        <v>110000</v>
      </c>
      <c r="BX11" s="20">
        <f>Table3[[#This Row],[R]]/10</f>
        <v>1.1000000000000001</v>
      </c>
      <c r="BY11" s="20">
        <f>Table3[[#This Row],[R6]]/10</f>
        <v>0.11000000000000001</v>
      </c>
      <c r="BZ11" s="20">
        <f>Table3[[#This Row],[R7]]/10</f>
        <v>1.1000000000000001E-2</v>
      </c>
      <c r="CA11" s="20">
        <f>Table3[[#This Row],[R8]]/10</f>
        <v>1.1000000000000001E-3</v>
      </c>
      <c r="CB11" s="20">
        <f>Table3[[#This Row],[R9]]/10</f>
        <v>1.1E-4</v>
      </c>
    </row>
    <row r="12" spans="1:80" ht="15" customHeight="1" thickBot="1">
      <c r="B12" s="493"/>
      <c r="C12" s="493"/>
      <c r="D12" s="493"/>
      <c r="G12" s="706" t="s">
        <v>115</v>
      </c>
      <c r="H12" s="707"/>
      <c r="I12" s="707"/>
      <c r="J12" s="708"/>
      <c r="K12" s="769">
        <v>1000</v>
      </c>
      <c r="L12" s="770"/>
      <c r="M12" s="42"/>
      <c r="N12" s="632"/>
      <c r="O12" s="632"/>
      <c r="P12" s="632"/>
      <c r="Q12" s="632"/>
      <c r="R12" s="632"/>
      <c r="BF12" s="25" t="s">
        <v>150</v>
      </c>
      <c r="BG12" s="26" t="e">
        <f>((2*K13+BJ10)/((2*K13+BJ10+K20)+(1/((1/(K10+K11))+(1/K19)))))*K19/((K10+K11)+K19)</f>
        <v>#VALUE!</v>
      </c>
      <c r="BH12" s="31" t="e">
        <f>BG12*BG21</f>
        <v>#VALUE!</v>
      </c>
      <c r="BI12" s="25"/>
      <c r="BJ12" s="43"/>
      <c r="BL12" s="25" t="s">
        <v>168</v>
      </c>
      <c r="BM12" s="29">
        <f>1/((1/(((BM11/1000)/K9)*(K10+K11)/(1-((BM11/1000)/K9))))-(1/(K13+VLOOKUP(K8,Devices[],COLUMN(Devices[Single-Ended Input Resistance]),0))))</f>
        <v>-10.007998392315137</v>
      </c>
      <c r="BN12" s="24" t="s">
        <v>127</v>
      </c>
      <c r="BO12" s="43" t="e">
        <f>BO11/((K10+K11)+BO11*(2*(K10+K11)/VLOOKUP(K8,Devices[],COLUMN(Devices[Differential Input Resistance]),0)))</f>
        <v>#DIV/0!</v>
      </c>
      <c r="BQ12" s="24"/>
      <c r="BR12" s="24"/>
      <c r="BS12" s="22">
        <v>11.3</v>
      </c>
      <c r="BT12" s="18">
        <f>Table3[[#This Row],[R]]*10</f>
        <v>113</v>
      </c>
      <c r="BU12" s="19">
        <f>Table3[[#This Row],[R2]]*10</f>
        <v>1130</v>
      </c>
      <c r="BV12" s="19">
        <f>Table3[[#This Row],[R3]]*10</f>
        <v>11300</v>
      </c>
      <c r="BW12" s="19">
        <f>Table3[[#This Row],[R4]]*10</f>
        <v>113000</v>
      </c>
      <c r="BX12" s="20">
        <f>Table3[[#This Row],[R]]/10</f>
        <v>1.1300000000000001</v>
      </c>
      <c r="BY12" s="20">
        <f>Table3[[#This Row],[R6]]/10</f>
        <v>0.11300000000000002</v>
      </c>
      <c r="BZ12" s="20">
        <f>Table3[[#This Row],[R7]]/10</f>
        <v>1.1300000000000001E-2</v>
      </c>
      <c r="CA12" s="20">
        <f>Table3[[#This Row],[R8]]/10</f>
        <v>1.1300000000000001E-3</v>
      </c>
      <c r="CB12" s="20">
        <f>Table3[[#This Row],[R9]]/10</f>
        <v>1.1300000000000001E-4</v>
      </c>
    </row>
    <row r="13" spans="1:80" ht="15" customHeight="1" thickBot="1">
      <c r="B13" s="493"/>
      <c r="C13" s="493"/>
      <c r="D13" s="493"/>
      <c r="G13" s="706" t="s">
        <v>195</v>
      </c>
      <c r="H13" s="707"/>
      <c r="I13" s="707"/>
      <c r="J13" s="708"/>
      <c r="K13" s="767">
        <v>10</v>
      </c>
      <c r="L13" s="768"/>
      <c r="BF13" s="44" t="s">
        <v>93</v>
      </c>
      <c r="BG13" s="45" t="e">
        <f>((2*K13+BJ9)/((2*K13+BJ9+K20)+(1/((1/(K10+K11))+(1/K19)))))*K19/((K10+K11)+K19)</f>
        <v>#VALUE!</v>
      </c>
      <c r="BH13" s="46" t="e">
        <f>BG13*BG22</f>
        <v>#VALUE!</v>
      </c>
      <c r="BI13" s="44" t="s">
        <v>94</v>
      </c>
      <c r="BJ13" s="47" t="e">
        <f>IF(OR(K7="Differential without R3'",K7="Single-Ended"),BM24,(K9*BH12+BG19*K13)*1000)</f>
        <v>#VALUE!</v>
      </c>
      <c r="BL13" s="25" t="s">
        <v>169</v>
      </c>
      <c r="BM13" s="39">
        <f>(BM12*VLOOKUP(K8,Devices[],COLUMN(Devices[Bias Current]),0))/1000</f>
        <v>0</v>
      </c>
      <c r="BN13" s="24" t="s">
        <v>128</v>
      </c>
      <c r="BO13" s="39" t="e">
        <f>BO12*K9*1000</f>
        <v>#DIV/0!</v>
      </c>
      <c r="BQ13" s="24"/>
      <c r="BR13" s="24"/>
      <c r="BS13" s="22">
        <v>11.5</v>
      </c>
      <c r="BT13" s="18">
        <f>Table3[[#This Row],[R]]*10</f>
        <v>115</v>
      </c>
      <c r="BU13" s="19">
        <f>Table3[[#This Row],[R2]]*10</f>
        <v>1150</v>
      </c>
      <c r="BV13" s="19">
        <f>Table3[[#This Row],[R3]]*10</f>
        <v>11500</v>
      </c>
      <c r="BW13" s="19">
        <f>Table3[[#This Row],[R4]]*10</f>
        <v>115000</v>
      </c>
      <c r="BX13" s="20">
        <f>Table3[[#This Row],[R]]/10</f>
        <v>1.1499999999999999</v>
      </c>
      <c r="BY13" s="20">
        <f>Table3[[#This Row],[R6]]/10</f>
        <v>0.11499999999999999</v>
      </c>
      <c r="BZ13" s="20">
        <f>Table3[[#This Row],[R7]]/10</f>
        <v>1.15E-2</v>
      </c>
      <c r="CA13" s="20">
        <f>Table3[[#This Row],[R8]]/10</f>
        <v>1.15E-3</v>
      </c>
      <c r="CB13" s="20">
        <f>Table3[[#This Row],[R9]]/10</f>
        <v>1.15E-4</v>
      </c>
    </row>
    <row r="14" spans="1:80" ht="15" customHeight="1" thickBot="1">
      <c r="B14" s="493"/>
      <c r="C14" s="493"/>
      <c r="D14" s="493"/>
      <c r="G14" s="706" t="s">
        <v>196</v>
      </c>
      <c r="H14" s="707"/>
      <c r="I14" s="707"/>
      <c r="J14" s="708"/>
      <c r="K14" s="771">
        <v>10</v>
      </c>
      <c r="L14" s="772"/>
      <c r="BF14" s="44" t="s">
        <v>102</v>
      </c>
      <c r="BG14" s="45" t="e">
        <f>((2*K13+BJ21)/((2*K13+BJ21+K20)+(1/((1/(K10+K11))+(1/K19)))))*K19/((K11+K10)+K19)</f>
        <v>#VALUE!</v>
      </c>
      <c r="BH14" s="46" t="e">
        <f>BG14*BG23</f>
        <v>#VALUE!</v>
      </c>
      <c r="BI14" s="44" t="s">
        <v>96</v>
      </c>
      <c r="BJ14" s="47" t="e">
        <f>IF(OR(K7="Differential without R3'",K7="Single-Ended"),BM35,(K9*BH13+BG19*K13)*1000)</f>
        <v>#VALUE!</v>
      </c>
      <c r="BL14" s="44" t="s">
        <v>170</v>
      </c>
      <c r="BM14" s="49">
        <f>BM11-BM13</f>
        <v>1000</v>
      </c>
      <c r="BN14" s="50" t="s">
        <v>118</v>
      </c>
      <c r="BO14" s="51" t="e">
        <f>BO13*BG21</f>
        <v>#DIV/0!</v>
      </c>
      <c r="BQ14" s="24"/>
      <c r="BR14" s="24"/>
      <c r="BS14" s="52">
        <v>11.8</v>
      </c>
      <c r="BT14" s="18">
        <f>Table3[[#This Row],[R]]*10</f>
        <v>118</v>
      </c>
      <c r="BU14" s="19">
        <f>Table3[[#This Row],[R2]]*10</f>
        <v>1180</v>
      </c>
      <c r="BV14" s="19">
        <f>Table3[[#This Row],[R3]]*10</f>
        <v>11800</v>
      </c>
      <c r="BW14" s="19">
        <f>Table3[[#This Row],[R4]]*10</f>
        <v>118000</v>
      </c>
      <c r="BX14" s="20">
        <f>Table3[[#This Row],[R]]/10</f>
        <v>1.1800000000000002</v>
      </c>
      <c r="BY14" s="20">
        <f>Table3[[#This Row],[R6]]/10</f>
        <v>0.11800000000000002</v>
      </c>
      <c r="BZ14" s="20">
        <f>Table3[[#This Row],[R7]]/10</f>
        <v>1.1800000000000001E-2</v>
      </c>
      <c r="CA14" s="20">
        <f>Table3[[#This Row],[R8]]/10</f>
        <v>1.1800000000000001E-3</v>
      </c>
      <c r="CB14" s="20">
        <f>Table3[[#This Row],[R9]]/10</f>
        <v>1.1800000000000001E-4</v>
      </c>
    </row>
    <row r="15" spans="1:80" ht="15" customHeight="1" thickBot="1">
      <c r="B15" s="493"/>
      <c r="C15" s="493"/>
      <c r="D15" s="493"/>
      <c r="G15" s="706" t="s">
        <v>269</v>
      </c>
      <c r="H15" s="707"/>
      <c r="I15" s="707"/>
      <c r="J15" s="708"/>
      <c r="K15" s="761">
        <v>-40</v>
      </c>
      <c r="L15" s="762"/>
      <c r="N15" s="746" t="str">
        <f>IF(K15&lt;VLOOKUP(K8, Devices[], COLUMN(Devices[Temp Min]), 0), " Input exceeds recommended minimum operating  temperature.","")</f>
        <v/>
      </c>
      <c r="O15" s="746"/>
      <c r="P15" s="746"/>
      <c r="Q15" s="746"/>
      <c r="BF15" s="44" t="s">
        <v>92</v>
      </c>
      <c r="BG15" s="45" t="e">
        <f>((2*K13+BJ11)/((2*K13+BJ11+K20)+(1/((1/(K10+K11))+(1/K19)))))*K19/((K10+K11)+K19)</f>
        <v>#VALUE!</v>
      </c>
      <c r="BH15" s="46" t="e">
        <f>BG15*BG24</f>
        <v>#VALUE!</v>
      </c>
      <c r="BI15" s="44" t="s">
        <v>97</v>
      </c>
      <c r="BJ15" s="47" t="e">
        <f>IF(OR(K7="Differential without R3'",K7="Single-Ended"),BM29,(K9*BH15+BG19*K13)*1000)</f>
        <v>#VALUE!</v>
      </c>
      <c r="BL15" s="44" t="s">
        <v>171</v>
      </c>
      <c r="BM15" s="29">
        <f>1/((1/(((BM14/1000)/K9)*(K10+K11)/(1-((BM14/1000)/K9))))-(1/(K13+VLOOKUP(K8,Devices[],COLUMN(Devices[Single-Ended Input Resistance]),0))))</f>
        <v>-10.007998392315137</v>
      </c>
      <c r="BQ15" s="54"/>
      <c r="BR15" s="54"/>
      <c r="BS15" s="55">
        <v>12.1</v>
      </c>
      <c r="BT15" s="18">
        <f>Table3[[#This Row],[R]]*10</f>
        <v>121</v>
      </c>
      <c r="BU15" s="19">
        <f>Table3[[#This Row],[R2]]*10</f>
        <v>1210</v>
      </c>
      <c r="BV15" s="19">
        <f>Table3[[#This Row],[R3]]*10</f>
        <v>12100</v>
      </c>
      <c r="BW15" s="19">
        <f>Table3[[#This Row],[R4]]*10</f>
        <v>121000</v>
      </c>
      <c r="BX15" s="20">
        <f>Table3[[#This Row],[R]]/10</f>
        <v>1.21</v>
      </c>
      <c r="BY15" s="20">
        <f>Table3[[#This Row],[R6]]/10</f>
        <v>0.121</v>
      </c>
      <c r="BZ15" s="20">
        <f>Table3[[#This Row],[R7]]/10</f>
        <v>1.21E-2</v>
      </c>
      <c r="CA15" s="20">
        <f>Table3[[#This Row],[R8]]/10</f>
        <v>1.2099999999999999E-3</v>
      </c>
      <c r="CB15" s="20">
        <f>Table3[[#This Row],[R9]]/10</f>
        <v>1.2099999999999999E-4</v>
      </c>
    </row>
    <row r="16" spans="1:80" ht="15" customHeight="1" thickBot="1">
      <c r="B16" s="493"/>
      <c r="C16" s="493"/>
      <c r="D16" s="493"/>
      <c r="G16" s="728" t="s">
        <v>270</v>
      </c>
      <c r="H16" s="729"/>
      <c r="I16" s="729"/>
      <c r="J16" s="730"/>
      <c r="K16" s="763">
        <v>125</v>
      </c>
      <c r="L16" s="764"/>
      <c r="M16" s="56"/>
      <c r="N16" s="746" t="str">
        <f>IF(K16&gt;VLOOKUP(K8, Devices[], COLUMN(Devices[Temp Max]), 0), " Input exceeds recommended maximum operating temperature.", "")</f>
        <v/>
      </c>
      <c r="O16" s="746"/>
      <c r="P16" s="746"/>
      <c r="Q16" s="746"/>
      <c r="BF16" s="57" t="s">
        <v>105</v>
      </c>
      <c r="BG16" s="58" t="e">
        <f>((2*K13+BJ22)/((2*K13+BJ22+K20)+(1/((1/(K10+K11))+(1/K19)))))*K19/((K10+K11)+K19)</f>
        <v>#VALUE!</v>
      </c>
      <c r="BH16" s="59" t="e">
        <f>BG16*BG25</f>
        <v>#VALUE!</v>
      </c>
      <c r="BI16" s="44" t="s">
        <v>95</v>
      </c>
      <c r="BJ16" s="60" t="e">
        <f>ABS((BJ13-BJ13)/(BJ13))</f>
        <v>#VALUE!</v>
      </c>
      <c r="BL16" s="44" t="s">
        <v>172</v>
      </c>
      <c r="BM16" s="39">
        <f>(BM15*VLOOKUP(K8,Devices[],COLUMN(Devices[Bias Current]),0))/1000</f>
        <v>0</v>
      </c>
      <c r="BO16" s="61"/>
      <c r="BS16" s="62">
        <v>12.4</v>
      </c>
      <c r="BT16" s="18">
        <f>Table3[[#This Row],[R]]*10</f>
        <v>124</v>
      </c>
      <c r="BU16" s="19">
        <f>Table3[[#This Row],[R2]]*10</f>
        <v>1240</v>
      </c>
      <c r="BV16" s="19">
        <f>Table3[[#This Row],[R3]]*10</f>
        <v>12400</v>
      </c>
      <c r="BW16" s="19">
        <f>Table3[[#This Row],[R4]]*10</f>
        <v>124000</v>
      </c>
      <c r="BX16" s="20">
        <f>Table3[[#This Row],[R]]/10</f>
        <v>1.24</v>
      </c>
      <c r="BY16" s="20">
        <f>Table3[[#This Row],[R6]]/10</f>
        <v>0.124</v>
      </c>
      <c r="BZ16" s="20">
        <f>Table3[[#This Row],[R7]]/10</f>
        <v>1.24E-2</v>
      </c>
      <c r="CA16" s="20">
        <f>Table3[[#This Row],[R8]]/10</f>
        <v>1.24E-3</v>
      </c>
      <c r="CB16" s="20">
        <f>Table3[[#This Row],[R9]]/10</f>
        <v>1.2400000000000001E-4</v>
      </c>
    </row>
    <row r="17" spans="2:80" ht="15" customHeight="1" thickBot="1">
      <c r="B17" s="493"/>
      <c r="C17" s="493"/>
      <c r="D17" s="493"/>
      <c r="G17" s="706" t="s">
        <v>124</v>
      </c>
      <c r="H17" s="707"/>
      <c r="I17" s="707"/>
      <c r="J17" s="708"/>
      <c r="K17" s="765" t="str">
        <f>IF(OR(K8="[Select Device]",K7="[Select Configuration]")," ",IF(OR(K7="Differential without R3'",K7="Single-Ended"),BR9,((BG9*(K10+K11)))/(1-BG9-BG9*(2*(K10+K11))/(2*K13+BJ10))))</f>
        <v xml:space="preserve"> </v>
      </c>
      <c r="L17" s="766"/>
      <c r="M17" s="42"/>
      <c r="BF17" s="737" t="s">
        <v>162</v>
      </c>
      <c r="BG17" s="738"/>
      <c r="BH17" s="64"/>
      <c r="BI17" s="44" t="s">
        <v>99</v>
      </c>
      <c r="BJ17" s="60" t="e">
        <f>ABS((BJ14-BJ13)/(BJ13))</f>
        <v>#VALUE!</v>
      </c>
      <c r="BL17" s="44" t="s">
        <v>173</v>
      </c>
      <c r="BM17" s="39">
        <f>BM11-BM16</f>
        <v>1000</v>
      </c>
      <c r="BS17" s="62">
        <v>12.7</v>
      </c>
      <c r="BT17" s="18">
        <f>Table3[[#This Row],[R]]*10</f>
        <v>127</v>
      </c>
      <c r="BU17" s="19">
        <f>Table3[[#This Row],[R2]]*10</f>
        <v>1270</v>
      </c>
      <c r="BV17" s="19">
        <f>Table3[[#This Row],[R3]]*10</f>
        <v>12700</v>
      </c>
      <c r="BW17" s="19">
        <f>Table3[[#This Row],[R4]]*10</f>
        <v>127000</v>
      </c>
      <c r="BX17" s="20">
        <f>Table3[[#This Row],[R]]/10</f>
        <v>1.27</v>
      </c>
      <c r="BY17" s="20">
        <f>Table3[[#This Row],[R6]]/10</f>
        <v>0.127</v>
      </c>
      <c r="BZ17" s="20">
        <f>Table3[[#This Row],[R7]]/10</f>
        <v>1.2699999999999999E-2</v>
      </c>
      <c r="CA17" s="20">
        <f>Table3[[#This Row],[R8]]/10</f>
        <v>1.2699999999999999E-3</v>
      </c>
      <c r="CB17" s="20">
        <f>Table3[[#This Row],[R9]]/10</f>
        <v>1.27E-4</v>
      </c>
    </row>
    <row r="18" spans="2:80" ht="15" customHeight="1" thickBot="1">
      <c r="B18" s="493"/>
      <c r="C18" s="493"/>
      <c r="D18" s="493"/>
      <c r="G18" s="706" t="s">
        <v>125</v>
      </c>
      <c r="H18" s="707"/>
      <c r="I18" s="707"/>
      <c r="J18" s="708"/>
      <c r="K18" s="765" t="str">
        <f>IF(OR(K8="[Select Device]", K7="[Select Configuration]"), " ", IF(OR(K7 = "Differential without R3'",K7 = "Single-Ended"), 0,1/((1/(K10+K11))+(1/K17))))</f>
        <v xml:space="preserve"> </v>
      </c>
      <c r="L18" s="766"/>
      <c r="BF18" s="25" t="s">
        <v>113</v>
      </c>
      <c r="BG18" s="43" t="e">
        <f>K9/(K10+K11+(1/((1/K17)+(1/(2*K13+K18+BJ10)))))</f>
        <v>#VALUE!</v>
      </c>
      <c r="BH18" s="64"/>
      <c r="BI18" s="44" t="s">
        <v>98</v>
      </c>
      <c r="BJ18" s="60" t="e">
        <f>ABS((BJ15-BJ13)/(BJ13))</f>
        <v>#VALUE!</v>
      </c>
      <c r="BL18" s="44" t="s">
        <v>174</v>
      </c>
      <c r="BM18" s="29">
        <f>1/((1/(((BM17/1000)/K9)*(K10+K11)/(1-((BM17/1000)/K9))))-(1/(K13+VLOOKUP(K8,Devices[],COLUMN(Devices[Single-Ended Input Resistance]),0))))</f>
        <v>-10.007998392315137</v>
      </c>
      <c r="BS18" s="62">
        <v>13</v>
      </c>
      <c r="BT18" s="18">
        <f>Table3[[#This Row],[R]]*10</f>
        <v>130</v>
      </c>
      <c r="BU18" s="19">
        <f>Table3[[#This Row],[R2]]*10</f>
        <v>1300</v>
      </c>
      <c r="BV18" s="19">
        <f>Table3[[#This Row],[R3]]*10</f>
        <v>13000</v>
      </c>
      <c r="BW18" s="19">
        <f>Table3[[#This Row],[R4]]*10</f>
        <v>130000</v>
      </c>
      <c r="BX18" s="20">
        <f>Table3[[#This Row],[R]]/10</f>
        <v>1.3</v>
      </c>
      <c r="BY18" s="20">
        <f>Table3[[#This Row],[R6]]/10</f>
        <v>0.13</v>
      </c>
      <c r="BZ18" s="20">
        <f>Table3[[#This Row],[R7]]/10</f>
        <v>1.3000000000000001E-2</v>
      </c>
      <c r="CA18" s="20">
        <f>Table3[[#This Row],[R8]]/10</f>
        <v>1.3000000000000002E-3</v>
      </c>
      <c r="CB18" s="20">
        <f>Table3[[#This Row],[R9]]/10</f>
        <v>1.3000000000000002E-4</v>
      </c>
    </row>
    <row r="19" spans="2:80" ht="15" customHeight="1" thickBot="1">
      <c r="B19" s="493"/>
      <c r="C19" s="493"/>
      <c r="D19" s="493"/>
      <c r="G19" s="706" t="s">
        <v>193</v>
      </c>
      <c r="H19" s="707"/>
      <c r="I19" s="707"/>
      <c r="J19" s="708"/>
      <c r="K19" s="731" t="str">
        <f>IF(OR(K8="[Select Device]",K7="[Select Configuration]")," ",IF(OR(K7="Differential without R3'",K7="Single-Ended"),BR10,BR10))</f>
        <v xml:space="preserve"> </v>
      </c>
      <c r="L19" s="732"/>
      <c r="N19" s="668" t="s">
        <v>345</v>
      </c>
      <c r="O19" s="669"/>
      <c r="BF19" s="65" t="s">
        <v>114</v>
      </c>
      <c r="BG19" s="66" t="e">
        <f>BG18*K17/(2*K13+K18+BJ10)-VLOOKUP(K8, Devices[], COLUMN(Devices[Bias Current]))/1000000</f>
        <v>#VALUE!</v>
      </c>
      <c r="BH19" s="64"/>
      <c r="BI19" s="57" t="s">
        <v>161</v>
      </c>
      <c r="BJ19" s="67" t="e">
        <f>MAX(BJ16:BJ18)</f>
        <v>#VALUE!</v>
      </c>
      <c r="BL19" s="44" t="s">
        <v>175</v>
      </c>
      <c r="BM19" s="43">
        <f>BR10</f>
        <v>976000</v>
      </c>
      <c r="BS19" s="62">
        <v>13.3</v>
      </c>
      <c r="BT19" s="18">
        <f>Table3[[#This Row],[R]]*10</f>
        <v>133</v>
      </c>
      <c r="BU19" s="19">
        <f>Table3[[#This Row],[R2]]*10</f>
        <v>1330</v>
      </c>
      <c r="BV19" s="19">
        <f>Table3[[#This Row],[R3]]*10</f>
        <v>13300</v>
      </c>
      <c r="BW19" s="19">
        <f>Table3[[#This Row],[R4]]*10</f>
        <v>133000</v>
      </c>
      <c r="BX19" s="20">
        <f>Table3[[#This Row],[R]]/10</f>
        <v>1.33</v>
      </c>
      <c r="BY19" s="20">
        <f>Table3[[#This Row],[R6]]/10</f>
        <v>0.13300000000000001</v>
      </c>
      <c r="BZ19" s="20">
        <f>Table3[[#This Row],[R7]]/10</f>
        <v>1.3300000000000001E-2</v>
      </c>
      <c r="CA19" s="20">
        <f>Table3[[#This Row],[R8]]/10</f>
        <v>1.33E-3</v>
      </c>
      <c r="CB19" s="20">
        <f>Table3[[#This Row],[R9]]/10</f>
        <v>1.3300000000000001E-4</v>
      </c>
    </row>
    <row r="20" spans="2:80" ht="15" customHeight="1" thickBot="1">
      <c r="B20" s="493"/>
      <c r="C20" s="493"/>
      <c r="D20" s="493"/>
      <c r="G20" s="706" t="s">
        <v>194</v>
      </c>
      <c r="H20" s="707"/>
      <c r="I20" s="707"/>
      <c r="J20" s="708"/>
      <c r="K20" s="731" t="str">
        <f>IF(OR(K8="[Select Device]",K7="[Select Configuration]")," ",IF(OR(K7="Differential without R3'",K7="Single-Ended"),0,BR10))</f>
        <v xml:space="preserve"> </v>
      </c>
      <c r="L20" s="732"/>
      <c r="N20" s="48" t="s">
        <v>337</v>
      </c>
      <c r="O20" s="494" t="str">
        <f>G46</f>
        <v xml:space="preserve"> </v>
      </c>
      <c r="BF20" s="739" t="s">
        <v>159</v>
      </c>
      <c r="BG20" s="740"/>
      <c r="BI20" s="737" t="s">
        <v>156</v>
      </c>
      <c r="BJ20" s="738"/>
      <c r="BL20" s="44" t="s">
        <v>176</v>
      </c>
      <c r="BM20" s="39">
        <f>BM19*VLOOKUP(K8,Devices[],COLUMN(Devices[Bias Current]),0)/1000</f>
        <v>0</v>
      </c>
      <c r="BS20" s="62">
        <v>13.7</v>
      </c>
      <c r="BT20" s="18">
        <f>Table3[[#This Row],[R]]*10</f>
        <v>137</v>
      </c>
      <c r="BU20" s="19">
        <f>Table3[[#This Row],[R2]]*10</f>
        <v>1370</v>
      </c>
      <c r="BV20" s="19">
        <f>Table3[[#This Row],[R3]]*10</f>
        <v>13700</v>
      </c>
      <c r="BW20" s="19">
        <f>Table3[[#This Row],[R4]]*10</f>
        <v>137000</v>
      </c>
      <c r="BX20" s="20">
        <f>Table3[[#This Row],[R]]/10</f>
        <v>1.3699999999999999</v>
      </c>
      <c r="BY20" s="20">
        <f>Table3[[#This Row],[R6]]/10</f>
        <v>0.13699999999999998</v>
      </c>
      <c r="BZ20" s="20">
        <f>Table3[[#This Row],[R7]]/10</f>
        <v>1.3699999999999999E-2</v>
      </c>
      <c r="CA20" s="20">
        <f>Table3[[#This Row],[R8]]/10</f>
        <v>1.3699999999999999E-3</v>
      </c>
      <c r="CB20" s="20">
        <f>Table3[[#This Row],[R9]]/10</f>
        <v>1.37E-4</v>
      </c>
    </row>
    <row r="21" spans="2:80" ht="15" customHeight="1" thickBot="1">
      <c r="B21" s="493"/>
      <c r="C21" s="493"/>
      <c r="D21" s="493"/>
      <c r="G21" s="706" t="s">
        <v>197</v>
      </c>
      <c r="H21" s="707"/>
      <c r="I21" s="707"/>
      <c r="J21" s="708"/>
      <c r="K21" s="724" t="str">
        <f>IF(OR(K8="[Select Device]",K7="[Select Configuration]")," ",IF(K7="Single-Ended",1/(2*3.14*K13*K14*0.000001),1/((2*3.14*2*K13*K14*0.000001))))</f>
        <v xml:space="preserve"> </v>
      </c>
      <c r="L21" s="725"/>
      <c r="N21" s="53" t="s">
        <v>332</v>
      </c>
      <c r="O21" s="495" t="str">
        <f>E46</f>
        <v xml:space="preserve"> </v>
      </c>
      <c r="BF21" s="68" t="s">
        <v>150</v>
      </c>
      <c r="BG21" s="35" t="e">
        <f>(BJ10/(2*K13+BJ10))</f>
        <v>#VALUE!</v>
      </c>
      <c r="BI21" s="25" t="e">
        <f>1-Temp_Range*10^-6*G42</f>
        <v>#VALUE!</v>
      </c>
      <c r="BJ21" s="43" t="e">
        <f>BJ9*BI21</f>
        <v>#VALUE!</v>
      </c>
      <c r="BL21" s="25" t="s">
        <v>178</v>
      </c>
      <c r="BM21" s="29">
        <f>1/((1/$BM$19)+(1/($K$13+VLOOKUP($K$8,Devices[],COLUMN(Devices[Single-Ended Input Resistance]),0))))</f>
        <v>9.9998975420333807</v>
      </c>
      <c r="BS21" s="62">
        <v>14</v>
      </c>
      <c r="BT21" s="18">
        <f>Table3[[#This Row],[R]]*10</f>
        <v>140</v>
      </c>
      <c r="BU21" s="19">
        <f>Table3[[#This Row],[R2]]*10</f>
        <v>1400</v>
      </c>
      <c r="BV21" s="19">
        <f>Table3[[#This Row],[R3]]*10</f>
        <v>14000</v>
      </c>
      <c r="BW21" s="19">
        <f>Table3[[#This Row],[R4]]*10</f>
        <v>140000</v>
      </c>
      <c r="BX21" s="20">
        <f>Table3[[#This Row],[R]]/10</f>
        <v>1.4</v>
      </c>
      <c r="BY21" s="20">
        <f>Table3[[#This Row],[R6]]/10</f>
        <v>0.13999999999999999</v>
      </c>
      <c r="BZ21" s="20">
        <f>Table3[[#This Row],[R7]]/10</f>
        <v>1.3999999999999999E-2</v>
      </c>
      <c r="CA21" s="20">
        <f>Table3[[#This Row],[R8]]/10</f>
        <v>1.3999999999999998E-3</v>
      </c>
      <c r="CB21" s="20">
        <f>Table3[[#This Row],[R9]]/10</f>
        <v>1.3999999999999999E-4</v>
      </c>
    </row>
    <row r="22" spans="2:80" ht="15" customHeight="1" thickBot="1">
      <c r="B22" s="493"/>
      <c r="C22" s="493"/>
      <c r="D22" s="493"/>
      <c r="G22" s="706" t="s">
        <v>38</v>
      </c>
      <c r="H22" s="707"/>
      <c r="I22" s="707"/>
      <c r="J22" s="708"/>
      <c r="K22" s="726" t="str">
        <f>IF(OR(K8="[Select Device]", K7="[Select Configuration]"), " ", ((K9)^2/(K10+K11+K17))*10^3)</f>
        <v xml:space="preserve"> </v>
      </c>
      <c r="L22" s="727"/>
      <c r="N22" s="53" t="s">
        <v>338</v>
      </c>
      <c r="O22" s="496" t="str">
        <f>K46</f>
        <v xml:space="preserve"> </v>
      </c>
      <c r="BF22" s="44" t="s">
        <v>93</v>
      </c>
      <c r="BG22" s="43" t="e">
        <f>(BJ9/(2*K13+BJ9))</f>
        <v>#VALUE!</v>
      </c>
      <c r="BI22" s="25" t="e">
        <f>1+Temp_Range*10^-6*G42</f>
        <v>#VALUE!</v>
      </c>
      <c r="BJ22" s="43" t="e">
        <f>BJ11*BI22</f>
        <v>#VALUE!</v>
      </c>
      <c r="BL22" s="25" t="s">
        <v>179</v>
      </c>
      <c r="BM22" s="43">
        <f>$K$9/($K$10+$K$11+$BM$21)</f>
        <v>7.9999936000706932E-5</v>
      </c>
      <c r="BS22" s="69">
        <v>14.3</v>
      </c>
      <c r="BT22" s="18">
        <f>Table3[[#This Row],[R]]*10</f>
        <v>143</v>
      </c>
      <c r="BU22" s="19">
        <f>Table3[[#This Row],[R2]]*10</f>
        <v>1430</v>
      </c>
      <c r="BV22" s="19">
        <f>Table3[[#This Row],[R3]]*10</f>
        <v>14300</v>
      </c>
      <c r="BW22" s="19">
        <f>Table3[[#This Row],[R4]]*10</f>
        <v>143000</v>
      </c>
      <c r="BX22" s="20">
        <f>Table3[[#This Row],[R]]/10</f>
        <v>1.4300000000000002</v>
      </c>
      <c r="BY22" s="20">
        <f>Table3[[#This Row],[R6]]/10</f>
        <v>0.14300000000000002</v>
      </c>
      <c r="BZ22" s="20">
        <f>Table3[[#This Row],[R7]]/10</f>
        <v>1.4300000000000002E-2</v>
      </c>
      <c r="CA22" s="20">
        <f>Table3[[#This Row],[R8]]/10</f>
        <v>1.4300000000000003E-3</v>
      </c>
      <c r="CB22" s="20">
        <f>Table3[[#This Row],[R9]]/10</f>
        <v>1.4300000000000003E-4</v>
      </c>
    </row>
    <row r="23" spans="2:80" ht="15" customHeight="1" thickBot="1">
      <c r="B23" s="752" t="s">
        <v>42</v>
      </c>
      <c r="C23" s="753"/>
      <c r="D23" s="493"/>
      <c r="G23" s="706" t="s">
        <v>199</v>
      </c>
      <c r="H23" s="707"/>
      <c r="I23" s="707"/>
      <c r="J23" s="708"/>
      <c r="K23" s="722" t="str">
        <f>IF(OR(K8="[Select Device]",K7="[Select Configuration]")," ",BJ15)</f>
        <v xml:space="preserve"> </v>
      </c>
      <c r="L23" s="723"/>
      <c r="N23" s="63" t="s">
        <v>339</v>
      </c>
      <c r="O23" s="497" t="str">
        <f>I46</f>
        <v xml:space="preserve"> </v>
      </c>
      <c r="BF23" s="44" t="s">
        <v>102</v>
      </c>
      <c r="BG23" s="43" t="e">
        <f>(BJ21/(2*K13+BJ21))</f>
        <v>#VALUE!</v>
      </c>
      <c r="BI23" s="25"/>
      <c r="BJ23" s="43"/>
      <c r="BL23" s="25" t="s">
        <v>180</v>
      </c>
      <c r="BM23" s="39">
        <f>$BM$21*$BM$22*1000</f>
        <v>0.79999116337629694</v>
      </c>
      <c r="BS23" s="55">
        <v>14.7</v>
      </c>
      <c r="BT23" s="18">
        <f>Table3[[#This Row],[R]]*10</f>
        <v>147</v>
      </c>
      <c r="BU23" s="19">
        <f>Table3[[#This Row],[R2]]*10</f>
        <v>1470</v>
      </c>
      <c r="BV23" s="19">
        <f>Table3[[#This Row],[R3]]*10</f>
        <v>14700</v>
      </c>
      <c r="BW23" s="19">
        <f>Table3[[#This Row],[R4]]*10</f>
        <v>147000</v>
      </c>
      <c r="BX23" s="20">
        <f>Table3[[#This Row],[R]]/10</f>
        <v>1.47</v>
      </c>
      <c r="BY23" s="20">
        <f>Table3[[#This Row],[R6]]/10</f>
        <v>0.14699999999999999</v>
      </c>
      <c r="BZ23" s="20">
        <f>Table3[[#This Row],[R7]]/10</f>
        <v>1.47E-2</v>
      </c>
      <c r="CA23" s="20">
        <f>Table3[[#This Row],[R8]]/10</f>
        <v>1.47E-3</v>
      </c>
      <c r="CB23" s="20">
        <f>Table3[[#This Row],[R9]]/10</f>
        <v>1.47E-4</v>
      </c>
    </row>
    <row r="24" spans="2:80" ht="15" customHeight="1" thickBot="1">
      <c r="B24" s="1" t="s">
        <v>43</v>
      </c>
      <c r="C24" s="6" t="s">
        <v>9</v>
      </c>
      <c r="D24" s="493"/>
      <c r="G24" s="706" t="s">
        <v>200</v>
      </c>
      <c r="H24" s="707"/>
      <c r="I24" s="707"/>
      <c r="J24" s="708"/>
      <c r="K24" s="722" t="str">
        <f>IF(OR(K8="[Select Device]",K7="[Select Configuration]")," ",BJ14)</f>
        <v xml:space="preserve"> </v>
      </c>
      <c r="L24" s="723"/>
      <c r="BF24" s="44" t="s">
        <v>92</v>
      </c>
      <c r="BG24" s="43" t="e">
        <f>(BJ11/(2*K13+BJ11))</f>
        <v>#VALUE!</v>
      </c>
      <c r="BI24" s="25" t="s">
        <v>103</v>
      </c>
      <c r="BJ24" s="47" t="e">
        <f>IF(OR(K7="Differential without R3'",K7="Single-Ended"),BM46,(BH14*K9+BG19*K13)*1000)</f>
        <v>#VALUE!</v>
      </c>
      <c r="BL24" s="70" t="s">
        <v>181</v>
      </c>
      <c r="BM24" s="71">
        <f>$BM$23+$BM$20</f>
        <v>0.79999116337629694</v>
      </c>
      <c r="BS24" s="62">
        <v>15</v>
      </c>
      <c r="BT24" s="18">
        <f>Table3[[#This Row],[R]]*10</f>
        <v>150</v>
      </c>
      <c r="BU24" s="19">
        <f>Table3[[#This Row],[R2]]*10</f>
        <v>1500</v>
      </c>
      <c r="BV24" s="19">
        <f>Table3[[#This Row],[R3]]*10</f>
        <v>15000</v>
      </c>
      <c r="BW24" s="19">
        <f>Table3[[#This Row],[R4]]*10</f>
        <v>150000</v>
      </c>
      <c r="BX24" s="20">
        <f>Table3[[#This Row],[R]]/10</f>
        <v>1.5</v>
      </c>
      <c r="BY24" s="20">
        <f>Table3[[#This Row],[R6]]/10</f>
        <v>0.15</v>
      </c>
      <c r="BZ24" s="20">
        <f>Table3[[#This Row],[R7]]/10</f>
        <v>1.4999999999999999E-2</v>
      </c>
      <c r="CA24" s="20">
        <f>Table3[[#This Row],[R8]]/10</f>
        <v>1.5E-3</v>
      </c>
      <c r="CB24" s="20">
        <f>Table3[[#This Row],[R9]]/10</f>
        <v>1.5000000000000001E-4</v>
      </c>
    </row>
    <row r="25" spans="2:80" ht="15" customHeight="1" thickBot="1">
      <c r="B25" s="1" t="s">
        <v>434</v>
      </c>
      <c r="C25" s="2" t="s">
        <v>9</v>
      </c>
      <c r="D25" s="72"/>
      <c r="G25" s="706" t="s">
        <v>107</v>
      </c>
      <c r="H25" s="707"/>
      <c r="I25" s="707"/>
      <c r="J25" s="708"/>
      <c r="K25" s="722" t="str">
        <f>IF(OR(K8="[Select Device]",K7="[Select Configuration]")," ",BJ25)</f>
        <v xml:space="preserve"> </v>
      </c>
      <c r="L25" s="723"/>
      <c r="BF25" s="57" t="s">
        <v>105</v>
      </c>
      <c r="BG25" s="41" t="e">
        <f>(BJ22/(2*K13+BJ22))</f>
        <v>#VALUE!</v>
      </c>
      <c r="BI25" s="65" t="s">
        <v>106</v>
      </c>
      <c r="BJ25" s="47" t="e">
        <f>IF(OR(K7="Differential without R3'",K7="Single-Ended"),BM40,(BH16*K9+BG19*K13)*1000)</f>
        <v>#VALUE!</v>
      </c>
      <c r="BL25" s="737" t="s">
        <v>142</v>
      </c>
      <c r="BM25" s="738"/>
      <c r="BS25" s="62">
        <v>15.4</v>
      </c>
      <c r="BT25" s="18">
        <f>Table3[[#This Row],[R]]*10</f>
        <v>154</v>
      </c>
      <c r="BU25" s="19">
        <f>Table3[[#This Row],[R2]]*10</f>
        <v>1540</v>
      </c>
      <c r="BV25" s="19">
        <f>Table3[[#This Row],[R3]]*10</f>
        <v>15400</v>
      </c>
      <c r="BW25" s="19">
        <f>Table3[[#This Row],[R4]]*10</f>
        <v>154000</v>
      </c>
      <c r="BX25" s="20">
        <f>Table3[[#This Row],[R]]/10</f>
        <v>1.54</v>
      </c>
      <c r="BY25" s="20">
        <f>Table3[[#This Row],[R6]]/10</f>
        <v>0.154</v>
      </c>
      <c r="BZ25" s="20">
        <f>Table3[[#This Row],[R7]]/10</f>
        <v>1.54E-2</v>
      </c>
      <c r="CA25" s="20">
        <f>Table3[[#This Row],[R8]]/10</f>
        <v>1.5400000000000001E-3</v>
      </c>
      <c r="CB25" s="20">
        <f>Table3[[#This Row],[R9]]/10</f>
        <v>1.54E-4</v>
      </c>
    </row>
    <row r="26" spans="2:80" ht="15" customHeight="1" thickBot="1">
      <c r="B26" s="1" t="s">
        <v>435</v>
      </c>
      <c r="C26" s="3" t="s">
        <v>9</v>
      </c>
      <c r="E26" s="73"/>
      <c r="G26" s="706" t="s">
        <v>104</v>
      </c>
      <c r="H26" s="707"/>
      <c r="I26" s="707"/>
      <c r="J26" s="708"/>
      <c r="K26" s="722" t="str">
        <f>IF(OR(K8="[Select Device]",K7="[Select Configuration]")," ",BJ24)</f>
        <v xml:space="preserve"> </v>
      </c>
      <c r="L26" s="723"/>
      <c r="BI26" s="737" t="s">
        <v>158</v>
      </c>
      <c r="BJ26" s="738"/>
      <c r="BL26" s="34" t="s">
        <v>120</v>
      </c>
      <c r="BM26" s="35">
        <f>1/((1/$BM$19)+(1/($K$13+BJ29)))</f>
        <v>9.9998975420333807</v>
      </c>
      <c r="BS26" s="62">
        <v>15.8</v>
      </c>
      <c r="BT26" s="18">
        <f>Table3[[#This Row],[R]]*10</f>
        <v>158</v>
      </c>
      <c r="BU26" s="19">
        <f>Table3[[#This Row],[R2]]*10</f>
        <v>1580</v>
      </c>
      <c r="BV26" s="19">
        <f>Table3[[#This Row],[R3]]*10</f>
        <v>15800</v>
      </c>
      <c r="BW26" s="19">
        <f>Table3[[#This Row],[R4]]*10</f>
        <v>158000</v>
      </c>
      <c r="BX26" s="20">
        <f>Table3[[#This Row],[R]]/10</f>
        <v>1.58</v>
      </c>
      <c r="BY26" s="20">
        <f>Table3[[#This Row],[R6]]/10</f>
        <v>0.158</v>
      </c>
      <c r="BZ26" s="20">
        <f>Table3[[#This Row],[R7]]/10</f>
        <v>1.5800000000000002E-2</v>
      </c>
      <c r="CA26" s="20">
        <f>Table3[[#This Row],[R8]]/10</f>
        <v>1.5800000000000002E-3</v>
      </c>
      <c r="CB26" s="20">
        <f>Table3[[#This Row],[R9]]/10</f>
        <v>1.5800000000000002E-4</v>
      </c>
    </row>
    <row r="27" spans="2:80" ht="15" customHeight="1" thickBot="1">
      <c r="B27" s="4" t="s">
        <v>191</v>
      </c>
      <c r="C27" s="30" t="s">
        <v>9</v>
      </c>
      <c r="D27" s="72"/>
      <c r="E27" s="74"/>
      <c r="G27" s="673" t="s">
        <v>328</v>
      </c>
      <c r="H27" s="674"/>
      <c r="I27" s="674"/>
      <c r="J27" s="675"/>
      <c r="K27" s="688" t="str">
        <f>IF(ISERROR(K9/(K10+K19)*1000000), "", K9/(K10+K19)*1000000)</f>
        <v/>
      </c>
      <c r="L27" s="689"/>
      <c r="BI27" s="25" t="s">
        <v>145</v>
      </c>
      <c r="BJ27" s="43">
        <f>BJ28*0.85</f>
        <v>0</v>
      </c>
      <c r="BL27" s="25" t="s">
        <v>122</v>
      </c>
      <c r="BM27" s="43">
        <f>$K$9/($K$10+$K$11+$BM$26)</f>
        <v>7.9999936000706932E-5</v>
      </c>
      <c r="BS27" s="62">
        <v>16.2</v>
      </c>
      <c r="BT27" s="18">
        <f>Table3[[#This Row],[R]]*10</f>
        <v>162</v>
      </c>
      <c r="BU27" s="19">
        <f>Table3[[#This Row],[R2]]*10</f>
        <v>1620</v>
      </c>
      <c r="BV27" s="19">
        <f>Table3[[#This Row],[R3]]*10</f>
        <v>16200</v>
      </c>
      <c r="BW27" s="19">
        <f>Table3[[#This Row],[R4]]*10</f>
        <v>162000</v>
      </c>
      <c r="BX27" s="20">
        <f>Table3[[#This Row],[R]]/10</f>
        <v>1.6199999999999999</v>
      </c>
      <c r="BY27" s="20">
        <f>Table3[[#This Row],[R6]]/10</f>
        <v>0.16199999999999998</v>
      </c>
      <c r="BZ27" s="20">
        <f>Table3[[#This Row],[R7]]/10</f>
        <v>1.6199999999999999E-2</v>
      </c>
      <c r="CA27" s="20">
        <f>Table3[[#This Row],[R8]]/10</f>
        <v>1.6199999999999999E-3</v>
      </c>
      <c r="CB27" s="20">
        <f>Table3[[#This Row],[R9]]/10</f>
        <v>1.6199999999999998E-4</v>
      </c>
    </row>
    <row r="28" spans="2:80" ht="15" customHeight="1" thickBot="1">
      <c r="B28" s="5" t="s">
        <v>192</v>
      </c>
      <c r="C28" s="36" t="s">
        <v>9</v>
      </c>
      <c r="BI28" s="25" t="s">
        <v>146</v>
      </c>
      <c r="BJ28" s="43">
        <f>VLOOKUP($K$8,Devices[],COLUMN(Devices[Single-Ended Input Resistance]),0)</f>
        <v>0</v>
      </c>
      <c r="BL28" s="25" t="s">
        <v>121</v>
      </c>
      <c r="BM28" s="39">
        <f>$BM$26*$BM$27*1000</f>
        <v>0.79999116337629694</v>
      </c>
      <c r="BS28" s="62">
        <v>16.5</v>
      </c>
      <c r="BT28" s="18">
        <f>Table3[[#This Row],[R]]*10</f>
        <v>165</v>
      </c>
      <c r="BU28" s="19">
        <f>Table3[[#This Row],[R2]]*10</f>
        <v>1650</v>
      </c>
      <c r="BV28" s="19">
        <f>Table3[[#This Row],[R3]]*10</f>
        <v>16500</v>
      </c>
      <c r="BW28" s="19">
        <f>Table3[[#This Row],[R4]]*10</f>
        <v>165000</v>
      </c>
      <c r="BX28" s="20">
        <f>Table3[[#This Row],[R]]/10</f>
        <v>1.65</v>
      </c>
      <c r="BY28" s="20">
        <f>Table3[[#This Row],[R6]]/10</f>
        <v>0.16499999999999998</v>
      </c>
      <c r="BZ28" s="20">
        <f>Table3[[#This Row],[R7]]/10</f>
        <v>1.6499999999999997E-2</v>
      </c>
      <c r="CA28" s="20">
        <f>Table3[[#This Row],[R8]]/10</f>
        <v>1.6499999999999998E-3</v>
      </c>
      <c r="CB28" s="20">
        <f>Table3[[#This Row],[R9]]/10</f>
        <v>1.6499999999999997E-4</v>
      </c>
    </row>
    <row r="29" spans="2:80" ht="15" customHeight="1" thickBot="1">
      <c r="B29" s="24"/>
      <c r="C29" s="24"/>
      <c r="BF29" s="739" t="s">
        <v>190</v>
      </c>
      <c r="BG29" s="740"/>
      <c r="BI29" s="25" t="s">
        <v>147</v>
      </c>
      <c r="BJ29" s="43">
        <f>BJ28*1.15</f>
        <v>0</v>
      </c>
      <c r="BL29" s="70" t="s">
        <v>123</v>
      </c>
      <c r="BM29" s="39">
        <f>$BM$28+$BM$20</f>
        <v>0.79999116337629694</v>
      </c>
      <c r="BS29" s="62">
        <v>16.899999999999999</v>
      </c>
      <c r="BT29" s="18">
        <f>Table3[[#This Row],[R]]*10</f>
        <v>169</v>
      </c>
      <c r="BU29" s="19">
        <f>Table3[[#This Row],[R2]]*10</f>
        <v>1690</v>
      </c>
      <c r="BV29" s="19">
        <f>Table3[[#This Row],[R3]]*10</f>
        <v>16900</v>
      </c>
      <c r="BW29" s="19">
        <f>Table3[[#This Row],[R4]]*10</f>
        <v>169000</v>
      </c>
      <c r="BX29" s="20">
        <f>Table3[[#This Row],[R]]/10</f>
        <v>1.69</v>
      </c>
      <c r="BY29" s="20">
        <f>Table3[[#This Row],[R6]]/10</f>
        <v>0.16899999999999998</v>
      </c>
      <c r="BZ29" s="20">
        <f>Table3[[#This Row],[R7]]/10</f>
        <v>1.6899999999999998E-2</v>
      </c>
      <c r="CA29" s="20">
        <f>Table3[[#This Row],[R8]]/10</f>
        <v>1.6899999999999999E-3</v>
      </c>
      <c r="CB29" s="20">
        <f>Table3[[#This Row],[R9]]/10</f>
        <v>1.6899999999999999E-4</v>
      </c>
    </row>
    <row r="30" spans="2:80" ht="24.95" customHeight="1" thickBot="1">
      <c r="B30" s="691" t="str">
        <f>K8&amp;" Error Calculation Across Temperature (" &amp; K15 &amp; "°C to + " &amp; K16 &amp; "°C)"</f>
        <v>[Select Device] Error Calculation Across Temperature (-40°C to + 125°C)</v>
      </c>
      <c r="C30" s="692"/>
      <c r="D30" s="692"/>
      <c r="E30" s="692"/>
      <c r="F30" s="692"/>
      <c r="G30" s="692"/>
      <c r="H30" s="692"/>
      <c r="I30" s="692"/>
      <c r="J30" s="692"/>
      <c r="K30" s="692"/>
      <c r="L30" s="693"/>
      <c r="M30" s="500"/>
      <c r="N30" s="612" t="s">
        <v>112</v>
      </c>
      <c r="O30" s="612"/>
      <c r="P30" s="612"/>
      <c r="Q30" s="612"/>
      <c r="R30" s="612"/>
      <c r="S30" s="613"/>
      <c r="BF30" s="741" t="e">
        <f>E31*1.1</f>
        <v>#VALUE!</v>
      </c>
      <c r="BG30" s="742"/>
      <c r="BI30" s="25" t="s">
        <v>148</v>
      </c>
      <c r="BJ30" s="43" t="e">
        <f>BJ27*BI21</f>
        <v>#VALUE!</v>
      </c>
      <c r="BL30" s="737" t="s">
        <v>141</v>
      </c>
      <c r="BM30" s="738"/>
      <c r="BS30" s="69">
        <v>17.399999999999999</v>
      </c>
      <c r="BT30" s="18">
        <f>Table3[[#This Row],[R]]*10</f>
        <v>174</v>
      </c>
      <c r="BU30" s="19">
        <f>Table3[[#This Row],[R2]]*10</f>
        <v>1740</v>
      </c>
      <c r="BV30" s="19">
        <f>Table3[[#This Row],[R3]]*10</f>
        <v>17400</v>
      </c>
      <c r="BW30" s="19">
        <f>Table3[[#This Row],[R4]]*10</f>
        <v>174000</v>
      </c>
      <c r="BX30" s="20">
        <f>Table3[[#This Row],[R]]/10</f>
        <v>1.7399999999999998</v>
      </c>
      <c r="BY30" s="20">
        <f>Table3[[#This Row],[R6]]/10</f>
        <v>0.17399999999999999</v>
      </c>
      <c r="BZ30" s="20">
        <f>Table3[[#This Row],[R7]]/10</f>
        <v>1.7399999999999999E-2</v>
      </c>
      <c r="CA30" s="20">
        <f>Table3[[#This Row],[R8]]/10</f>
        <v>1.7399999999999998E-3</v>
      </c>
      <c r="CB30" s="20">
        <f>Table3[[#This Row],[R9]]/10</f>
        <v>1.7399999999999997E-4</v>
      </c>
    </row>
    <row r="31" spans="2:80" ht="15" customHeight="1" thickBot="1">
      <c r="B31" s="709" t="s">
        <v>39</v>
      </c>
      <c r="C31" s="710"/>
      <c r="D31" s="710"/>
      <c r="E31" s="713" t="str">
        <f>IF(OR(K8="[Select Device]", K8=" "), " ", VLOOKUP(K8, Devices[], COLUMN(Devices[±Input Voltage Range]),0))</f>
        <v xml:space="preserve"> </v>
      </c>
      <c r="F31" s="714"/>
      <c r="G31" s="682" t="s">
        <v>340</v>
      </c>
      <c r="H31" s="682"/>
      <c r="I31" s="685" t="s">
        <v>341</v>
      </c>
      <c r="J31" s="683"/>
      <c r="K31" s="682" t="s">
        <v>342</v>
      </c>
      <c r="L31" s="683"/>
      <c r="M31" s="24"/>
      <c r="N31" s="501"/>
      <c r="O31" s="24"/>
      <c r="P31" s="24"/>
      <c r="Q31" s="24"/>
      <c r="R31" s="24"/>
      <c r="S31" s="43"/>
      <c r="BF31" s="54"/>
      <c r="BG31" s="54"/>
      <c r="BI31" s="25"/>
      <c r="BJ31" s="43"/>
      <c r="BL31" s="75"/>
      <c r="BM31" s="76"/>
      <c r="BS31" s="77"/>
      <c r="BT31" s="78">
        <f>Table3[[#This Row],[R]]*10</f>
        <v>0</v>
      </c>
      <c r="BU31" s="20">
        <f>Table3[[#This Row],[R2]]*10</f>
        <v>0</v>
      </c>
      <c r="BV31" s="20">
        <f>Table3[[#This Row],[R3]]*10</f>
        <v>0</v>
      </c>
      <c r="BW31" s="20">
        <f>Table3[[#This Row],[R]]/10</f>
        <v>0</v>
      </c>
      <c r="BX31" s="20">
        <f>Table3[[#This Row],[R5]]/10</f>
        <v>0</v>
      </c>
      <c r="BY31" s="20">
        <f>Table3[[#This Row],[R6]]/10</f>
        <v>0</v>
      </c>
      <c r="BZ31" s="20">
        <f>Table3[[#This Row],[R7]]/10</f>
        <v>0</v>
      </c>
      <c r="CA31" s="20">
        <f>Table3[[#This Row],[R8]]/10</f>
        <v>0</v>
      </c>
      <c r="CB31" s="20">
        <f>Table3[[#This Row],[R9]]/10</f>
        <v>0</v>
      </c>
    </row>
    <row r="32" spans="2:80" ht="15" customHeight="1" thickBot="1">
      <c r="B32" s="711"/>
      <c r="C32" s="712"/>
      <c r="D32" s="712"/>
      <c r="E32" s="715"/>
      <c r="F32" s="716"/>
      <c r="G32" s="684" t="str">
        <f>IF(OR(K8="[Select Device]",K7="[Select Configuration]")," ",IF(OR(K7="Differential without R3'",K7="Single-Ended"),BM24,BJ13))</f>
        <v xml:space="preserve"> </v>
      </c>
      <c r="H32" s="684"/>
      <c r="I32" s="686" t="str">
        <f>IF(OR(K8="[Select Device]",K7="[Select Configuration]")," ",G32-K43/VLOOKUP(K8,Devices[],COLUMN(Devices[Gain]),0))</f>
        <v xml:space="preserve"> </v>
      </c>
      <c r="J32" s="687"/>
      <c r="K32" s="694" t="str">
        <f>IF(OR(K8="[Select Device]",K7="[Select Configuration]")," ",G32/1000*VLOOKUP(K8,Devices[],COLUMN(Devices[Gain]),0))</f>
        <v xml:space="preserve"> </v>
      </c>
      <c r="L32" s="695"/>
      <c r="M32" s="24"/>
      <c r="N32" s="24"/>
      <c r="O32" s="24"/>
      <c r="P32" s="24"/>
      <c r="Q32" s="24"/>
      <c r="R32" s="24"/>
      <c r="S32" s="43"/>
      <c r="BI32" s="65" t="s">
        <v>149</v>
      </c>
      <c r="BJ32" s="41" t="e">
        <f>BJ29*BI22</f>
        <v>#VALUE!</v>
      </c>
      <c r="BL32" s="34" t="s">
        <v>120</v>
      </c>
      <c r="BM32" s="35">
        <f>1/((1/$BM$19)+(1/($K$13+BJ27)))</f>
        <v>9.9998975420333807</v>
      </c>
      <c r="BS32" s="55">
        <v>17.8</v>
      </c>
      <c r="BT32" s="18">
        <f>Table3[[#This Row],[R]]*10</f>
        <v>178</v>
      </c>
      <c r="BU32" s="19">
        <f>Table3[[#This Row],[R2]]*10</f>
        <v>1780</v>
      </c>
      <c r="BV32" s="19">
        <f>Table3[[#This Row],[R3]]*10</f>
        <v>17800</v>
      </c>
      <c r="BW32" s="19">
        <f>Table3[[#This Row],[R4]]*10</f>
        <v>178000</v>
      </c>
      <c r="BX32" s="20">
        <f>Table3[[#This Row],[R]]/10</f>
        <v>1.78</v>
      </c>
      <c r="BY32" s="20">
        <f>Table3[[#This Row],[R6]]/10</f>
        <v>0.17799999999999999</v>
      </c>
      <c r="BZ32" s="20">
        <f>Table3[[#This Row],[R7]]/10</f>
        <v>1.78E-2</v>
      </c>
      <c r="CA32" s="20">
        <f>Table3[[#This Row],[R8]]/10</f>
        <v>1.7799999999999999E-3</v>
      </c>
      <c r="CB32" s="20">
        <f>Table3[[#This Row],[R9]]/10</f>
        <v>1.7799999999999999E-4</v>
      </c>
    </row>
    <row r="33" spans="2:80" ht="20.100000000000001" customHeight="1" thickBot="1">
      <c r="B33" s="717" t="s">
        <v>0</v>
      </c>
      <c r="C33" s="718"/>
      <c r="D33" s="719"/>
      <c r="E33" s="676" t="s">
        <v>23</v>
      </c>
      <c r="F33" s="677"/>
      <c r="G33" s="676" t="s">
        <v>24</v>
      </c>
      <c r="H33" s="677"/>
      <c r="I33" s="676" t="s">
        <v>332</v>
      </c>
      <c r="J33" s="677"/>
      <c r="K33" s="676" t="s">
        <v>331</v>
      </c>
      <c r="L33" s="677"/>
      <c r="M33" s="24"/>
      <c r="N33" s="24"/>
      <c r="O33" s="24"/>
      <c r="P33" s="24"/>
      <c r="Q33" s="24"/>
      <c r="R33" s="24"/>
      <c r="S33" s="43"/>
      <c r="BL33" s="25" t="s">
        <v>122</v>
      </c>
      <c r="BM33" s="43">
        <f>$K$9/($K$10+$K$11+$BM$32)</f>
        <v>7.9999936000706932E-5</v>
      </c>
      <c r="BS33" s="62">
        <v>18.2</v>
      </c>
      <c r="BT33" s="18">
        <f>Table3[[#This Row],[R]]*10</f>
        <v>182</v>
      </c>
      <c r="BU33" s="19">
        <f>Table3[[#This Row],[R2]]*10</f>
        <v>1820</v>
      </c>
      <c r="BV33" s="19">
        <f>Table3[[#This Row],[R3]]*10</f>
        <v>18200</v>
      </c>
      <c r="BW33" s="19">
        <f>Table3[[#This Row],[R4]]*10</f>
        <v>182000</v>
      </c>
      <c r="BX33" s="20">
        <f>Table3[[#This Row],[R]]/10</f>
        <v>1.8199999999999998</v>
      </c>
      <c r="BY33" s="20">
        <f>Table3[[#This Row],[R6]]/10</f>
        <v>0.182</v>
      </c>
      <c r="BZ33" s="20">
        <f>Table3[[#This Row],[R7]]/10</f>
        <v>1.8200000000000001E-2</v>
      </c>
      <c r="CA33" s="20">
        <f>Table3[[#This Row],[R8]]/10</f>
        <v>1.82E-3</v>
      </c>
      <c r="CB33" s="20">
        <f>Table3[[#This Row],[R9]]/10</f>
        <v>1.8200000000000001E-4</v>
      </c>
    </row>
    <row r="34" spans="2:80" ht="15" customHeight="1" thickBot="1">
      <c r="B34" s="697" t="s">
        <v>184</v>
      </c>
      <c r="C34" s="698"/>
      <c r="D34" s="699"/>
      <c r="E34" s="700" t="str">
        <f>IF(K7="[Select Configuration]", " ", IF(K8="[Select Device]", "  ", VLOOKUP(K8, Devices[], COLUMN(Devices[Gain Error Typ]), 0)))</f>
        <v xml:space="preserve"> </v>
      </c>
      <c r="F34" s="701"/>
      <c r="G34" s="700" t="str">
        <f>IF(K7="[Select Configuration]", " ", IF(K8="[Select Device]", " ", VLOOKUP(K8, Devices[], COLUMN(Devices[Gain Error Max]), 0)))</f>
        <v xml:space="preserve"> </v>
      </c>
      <c r="H34" s="701"/>
      <c r="I34" s="678" t="str">
        <f>IF(OR(K8="[Select Device]", K7="[Select Configuration]")," ", (E34*K32)*1000)</f>
        <v xml:space="preserve"> </v>
      </c>
      <c r="J34" s="690"/>
      <c r="K34" s="678" t="str">
        <f>IF(OR(K8="[Select Device]",K7="[Select Configuration]")," ",(G34*K32)*1000)</f>
        <v xml:space="preserve"> </v>
      </c>
      <c r="L34" s="679"/>
      <c r="M34" s="24"/>
      <c r="N34" s="698"/>
      <c r="O34" s="698"/>
      <c r="P34" s="698"/>
      <c r="Q34" s="698"/>
      <c r="R34" s="698"/>
      <c r="S34" s="743"/>
      <c r="BI34" s="737" t="s">
        <v>298</v>
      </c>
      <c r="BJ34" s="738"/>
      <c r="BL34" s="25" t="s">
        <v>121</v>
      </c>
      <c r="BM34" s="39">
        <f>$BM$32*$BM$33*1000</f>
        <v>0.79999116337629694</v>
      </c>
      <c r="BS34" s="62">
        <v>18.7</v>
      </c>
      <c r="BT34" s="18">
        <f>Table3[[#This Row],[R]]*10</f>
        <v>187</v>
      </c>
      <c r="BU34" s="19">
        <f>Table3[[#This Row],[R2]]*10</f>
        <v>1870</v>
      </c>
      <c r="BV34" s="19">
        <f>Table3[[#This Row],[R3]]*10</f>
        <v>18700</v>
      </c>
      <c r="BW34" s="19">
        <f>Table3[[#This Row],[R4]]*10</f>
        <v>187000</v>
      </c>
      <c r="BX34" s="20">
        <f>Table3[[#This Row],[R]]/10</f>
        <v>1.8699999999999999</v>
      </c>
      <c r="BY34" s="20">
        <f>Table3[[#This Row],[R6]]/10</f>
        <v>0.187</v>
      </c>
      <c r="BZ34" s="20">
        <f>Table3[[#This Row],[R7]]/10</f>
        <v>1.8700000000000001E-2</v>
      </c>
      <c r="CA34" s="20">
        <f>Table3[[#This Row],[R8]]/10</f>
        <v>1.8700000000000001E-3</v>
      </c>
      <c r="CB34" s="20">
        <f>Table3[[#This Row],[R9]]/10</f>
        <v>1.8700000000000002E-4</v>
      </c>
    </row>
    <row r="35" spans="2:80" ht="15" customHeight="1" thickBot="1">
      <c r="B35" s="697" t="s">
        <v>185</v>
      </c>
      <c r="C35" s="698"/>
      <c r="D35" s="699"/>
      <c r="E35" s="702" t="str">
        <f>IF(OR(K8="[Select Device]", K7="[Select Configuration]"), " ", VLOOKUP(K8, Devices[], COLUMN(Devices[Gain Drift Typ]), 0))</f>
        <v xml:space="preserve"> </v>
      </c>
      <c r="F35" s="703"/>
      <c r="G35" s="702" t="str">
        <f>IF(OR(K8="[Select Device]", K7="[Select Configuration]"), " ", VLOOKUP(K8, Devices[], COLUMN(Devices[Gain Drift Max]), 0))</f>
        <v xml:space="preserve"> </v>
      </c>
      <c r="H35" s="703"/>
      <c r="I35" s="678" t="str">
        <f>IF(OR(K8="[Select Device]", K7="[Select Configuration]"), " ", Temp_Range*E35*10^-6*K32*1000)</f>
        <v xml:space="preserve"> </v>
      </c>
      <c r="J35" s="690"/>
      <c r="K35" s="680" t="str">
        <f>IF(OR(K8="[Select Device]", K7="[Select Configuration]"), " ", Temp_Range*G35*10^-6*K32*1000)</f>
        <v xml:space="preserve"> </v>
      </c>
      <c r="L35" s="681"/>
      <c r="M35" s="24"/>
      <c r="N35" s="499" t="str">
        <f>"Temperature Drift from " &amp; K15 &amp; "°C to " &amp; K16 &amp; "°C calculated using box method as described in device datasheet"</f>
        <v>Temperature Drift from -40°C to 125°C calculated using box method as described in device datasheet</v>
      </c>
      <c r="O35" s="499"/>
      <c r="P35" s="499"/>
      <c r="Q35" s="499"/>
      <c r="R35" s="499"/>
      <c r="S35" s="502"/>
      <c r="BI35" s="27" t="s">
        <v>290</v>
      </c>
      <c r="BJ35" s="28">
        <f>BJ36*(1-E66/100)</f>
        <v>12500000</v>
      </c>
      <c r="BL35" s="70" t="s">
        <v>123</v>
      </c>
      <c r="BM35" s="39">
        <f>$BM$34+$BM$20</f>
        <v>0.79999116337629694</v>
      </c>
      <c r="BS35" s="62">
        <v>19.100000000000001</v>
      </c>
      <c r="BT35" s="18">
        <f>Table3[[#This Row],[R]]*10</f>
        <v>191</v>
      </c>
      <c r="BU35" s="19">
        <f>Table3[[#This Row],[R2]]*10</f>
        <v>1910</v>
      </c>
      <c r="BV35" s="19">
        <f>Table3[[#This Row],[R3]]*10</f>
        <v>19100</v>
      </c>
      <c r="BW35" s="19">
        <f>Table3[[#This Row],[R4]]*10</f>
        <v>191000</v>
      </c>
      <c r="BX35" s="20">
        <f>Table3[[#This Row],[R]]/10</f>
        <v>1.9100000000000001</v>
      </c>
      <c r="BY35" s="20">
        <f>Table3[[#This Row],[R6]]/10</f>
        <v>0.191</v>
      </c>
      <c r="BZ35" s="20">
        <f>Table3[[#This Row],[R7]]/10</f>
        <v>1.9099999999999999E-2</v>
      </c>
      <c r="CA35" s="20">
        <f>Table3[[#This Row],[R8]]/10</f>
        <v>1.9099999999999998E-3</v>
      </c>
      <c r="CB35" s="20">
        <f>Table3[[#This Row],[R9]]/10</f>
        <v>1.9099999999999998E-4</v>
      </c>
    </row>
    <row r="36" spans="2:80" ht="15" customHeight="1" thickBot="1">
      <c r="B36" s="697" t="s">
        <v>186</v>
      </c>
      <c r="C36" s="698"/>
      <c r="D36" s="699"/>
      <c r="E36" s="704" t="str">
        <f>IF(OR(K8="[Select Device]", K7="[Select Configuration]"), " ", VLOOKUP(K8, Devices[], COLUMN(Devices[Offset Error Typ]), 0))</f>
        <v xml:space="preserve"> </v>
      </c>
      <c r="F36" s="705"/>
      <c r="G36" s="704" t="str">
        <f>IF(OR(K8="[Select Device]", K7="[Select Configuration]"), " ", VLOOKUP(K8, Devices[], COLUMN(Devices[Offset Error Max]), 0))</f>
        <v xml:space="preserve"> </v>
      </c>
      <c r="H36" s="705"/>
      <c r="I36" s="678" t="str">
        <f>IF(OR(K8="[Select Device]", K7="[Select Configuration]"), " ", E36*VLOOKUP(K8,Devices[],COLUMN(Devices[Gain]),0))</f>
        <v xml:space="preserve"> </v>
      </c>
      <c r="J36" s="690"/>
      <c r="K36" s="680" t="str">
        <f>IF(OR(K8="[Select Device]", K7="[Select Configuration]"), " ", G36*VLOOKUP(K8,Devices[],COLUMN(Devices[Gain]),0))</f>
        <v xml:space="preserve"> </v>
      </c>
      <c r="L36" s="681"/>
      <c r="M36" s="503"/>
      <c r="N36" s="499"/>
      <c r="O36" s="499"/>
      <c r="P36" s="499"/>
      <c r="Q36" s="499"/>
      <c r="R36" s="499"/>
      <c r="S36" s="502"/>
      <c r="BI36" s="79" t="s">
        <v>291</v>
      </c>
      <c r="BJ36" s="80">
        <f>IF(P34="[Select Configuration]"," ",IF(P35="[Select Device]","e in the User Inputs.  ",K10+K11))</f>
        <v>12500000</v>
      </c>
      <c r="BL36" s="737" t="s">
        <v>143</v>
      </c>
      <c r="BM36" s="738"/>
      <c r="BS36" s="62">
        <v>19.600000000000001</v>
      </c>
      <c r="BT36" s="18">
        <f>Table3[[#This Row],[R]]*10</f>
        <v>196</v>
      </c>
      <c r="BU36" s="19">
        <f>Table3[[#This Row],[R2]]*10</f>
        <v>1960</v>
      </c>
      <c r="BV36" s="19">
        <f>Table3[[#This Row],[R3]]*10</f>
        <v>19600</v>
      </c>
      <c r="BW36" s="19">
        <f>Table3[[#This Row],[R4]]*10</f>
        <v>196000</v>
      </c>
      <c r="BX36" s="20">
        <f>Table3[[#This Row],[R]]/10</f>
        <v>1.9600000000000002</v>
      </c>
      <c r="BY36" s="20">
        <f>Table3[[#This Row],[R6]]/10</f>
        <v>0.19600000000000001</v>
      </c>
      <c r="BZ36" s="20">
        <f>Table3[[#This Row],[R7]]/10</f>
        <v>1.9599999999999999E-2</v>
      </c>
      <c r="CA36" s="20">
        <f>Table3[[#This Row],[R8]]/10</f>
        <v>1.9599999999999999E-3</v>
      </c>
      <c r="CB36" s="20">
        <f>Table3[[#This Row],[R9]]/10</f>
        <v>1.9599999999999999E-4</v>
      </c>
    </row>
    <row r="37" spans="2:80" ht="15" customHeight="1" thickBot="1">
      <c r="B37" s="697" t="s">
        <v>187</v>
      </c>
      <c r="C37" s="698"/>
      <c r="D37" s="699"/>
      <c r="E37" s="720" t="str">
        <f>IF(OR(K8="[Select Device]", K7="[Select Configuration]"), " ", VLOOKUP(K8, Devices[], COLUMN(Devices[Offset Drift Typ]), 0))</f>
        <v xml:space="preserve"> </v>
      </c>
      <c r="F37" s="721"/>
      <c r="G37" s="720" t="str">
        <f>IF(OR(K8="[Select Device]", K7="[Select Configuration]"), " ", VLOOKUP(K8, Devices[], COLUMN(Devices[Offset Drift Max]), 0))</f>
        <v xml:space="preserve"> </v>
      </c>
      <c r="H37" s="721"/>
      <c r="I37" s="678" t="str">
        <f>IF(OR(K8="[Select Device]", K7="[Select Configuration]"), " ", Temp_Range*E37*10^-3*VLOOKUP(K8,Devices[],COLUMN(Devices[Gain]),0))</f>
        <v xml:space="preserve"> </v>
      </c>
      <c r="J37" s="690"/>
      <c r="K37" s="680" t="str">
        <f>IF(OR(K8="[Select Device]", K7="[Select Configuration]"), " ", Temp_Range*G37*10^-3*VLOOKUP(K8,Devices[],COLUMN(Devices[Gain]),0))</f>
        <v xml:space="preserve"> </v>
      </c>
      <c r="L37" s="681"/>
      <c r="M37" s="24"/>
      <c r="N37" s="499" t="str">
        <f>"Temperature Drift from " &amp; K15 &amp; "°C to " &amp; K16 &amp; "°C calculated using box method as described in device datasheet"</f>
        <v>Temperature Drift from -40°C to 125°C calculated using box method as described in device datasheet</v>
      </c>
      <c r="O37" s="499"/>
      <c r="P37" s="499"/>
      <c r="Q37" s="499"/>
      <c r="R37" s="499"/>
      <c r="S37" s="502"/>
      <c r="BI37" s="37" t="s">
        <v>292</v>
      </c>
      <c r="BJ37" s="38">
        <f>BJ36*(1+E66/100)</f>
        <v>12500000</v>
      </c>
      <c r="BL37" s="34" t="s">
        <v>120</v>
      </c>
      <c r="BM37" s="35" t="e">
        <f>1/((1/$BM$19)+(1/($K$13+BJ32)))</f>
        <v>#VALUE!</v>
      </c>
      <c r="BS37" s="62">
        <v>20</v>
      </c>
      <c r="BT37" s="18">
        <f>Table3[[#This Row],[R]]*10</f>
        <v>200</v>
      </c>
      <c r="BU37" s="19">
        <f>Table3[[#This Row],[R2]]*10</f>
        <v>2000</v>
      </c>
      <c r="BV37" s="19">
        <f>Table3[[#This Row],[R3]]*10</f>
        <v>20000</v>
      </c>
      <c r="BW37" s="19">
        <f>Table3[[#This Row],[R4]]*10</f>
        <v>200000</v>
      </c>
      <c r="BX37" s="20">
        <f>Table3[[#This Row],[R]]/10</f>
        <v>2</v>
      </c>
      <c r="BY37" s="20">
        <f>Table3[[#This Row],[R6]]/10</f>
        <v>0.2</v>
      </c>
      <c r="BZ37" s="20">
        <f>Table3[[#This Row],[R7]]/10</f>
        <v>0.02</v>
      </c>
      <c r="CA37" s="20">
        <f>Table3[[#This Row],[R8]]/10</f>
        <v>2E-3</v>
      </c>
      <c r="CB37" s="20">
        <f>Table3[[#This Row],[R9]]/10</f>
        <v>2.0000000000000001E-4</v>
      </c>
    </row>
    <row r="38" spans="2:80" ht="15" customHeight="1" thickBot="1">
      <c r="B38" s="697" t="s">
        <v>1</v>
      </c>
      <c r="C38" s="698"/>
      <c r="D38" s="699"/>
      <c r="E38" s="700" t="str">
        <f>IF(OR(K8="[Select Device]", K7="[Select Configuration]"), " ", VLOOKUP(K8, Devices[], COLUMN(Devices[INL Typ]), 0))</f>
        <v xml:space="preserve"> </v>
      </c>
      <c r="F38" s="701"/>
      <c r="G38" s="700" t="str">
        <f>IF(OR(K8="[Select Device]", K7="[Select Configuration]"), " ", VLOOKUP(K8, Devices[], COLUMN(Devices[INL Max]), 0))</f>
        <v xml:space="preserve"> </v>
      </c>
      <c r="H38" s="701"/>
      <c r="I38" s="678" t="str">
        <f>IF(OR(K8="[Select Device]", K7="[Select Configuration]")," ", (E38*K32)*1000)</f>
        <v xml:space="preserve"> </v>
      </c>
      <c r="J38" s="690"/>
      <c r="K38" s="680" t="str">
        <f>IF(OR(K8="[Select Device]", K7="[Select Configuration]")," ",(G38*K32)*1000)</f>
        <v xml:space="preserve"> </v>
      </c>
      <c r="L38" s="681"/>
      <c r="M38" s="24"/>
      <c r="N38" s="499"/>
      <c r="O38" s="499"/>
      <c r="P38" s="499"/>
      <c r="Q38" s="499"/>
      <c r="R38" s="499"/>
      <c r="S38" s="502"/>
      <c r="BI38" s="784" t="s">
        <v>299</v>
      </c>
      <c r="BJ38" s="785"/>
      <c r="BL38" s="25" t="s">
        <v>122</v>
      </c>
      <c r="BM38" s="43" t="e">
        <f>$K$9/($K$10+$K$11+$BM$37)</f>
        <v>#VALUE!</v>
      </c>
      <c r="BS38" s="62">
        <v>20.5</v>
      </c>
      <c r="BT38" s="18">
        <f>Table3[[#This Row],[R]]*10</f>
        <v>205</v>
      </c>
      <c r="BU38" s="19">
        <f>Table3[[#This Row],[R2]]*10</f>
        <v>2050</v>
      </c>
      <c r="BV38" s="19">
        <f>Table3[[#This Row],[R3]]*10</f>
        <v>20500</v>
      </c>
      <c r="BW38" s="19">
        <f>Table3[[#This Row],[R4]]*10</f>
        <v>205000</v>
      </c>
      <c r="BX38" s="20">
        <f>Table3[[#This Row],[R]]/10</f>
        <v>2.0499999999999998</v>
      </c>
      <c r="BY38" s="20">
        <f>Table3[[#This Row],[R6]]/10</f>
        <v>0.20499999999999999</v>
      </c>
      <c r="BZ38" s="20">
        <f>Table3[[#This Row],[R7]]/10</f>
        <v>2.0499999999999997E-2</v>
      </c>
      <c r="CA38" s="20">
        <f>Table3[[#This Row],[R8]]/10</f>
        <v>2.0499999999999997E-3</v>
      </c>
      <c r="CB38" s="20">
        <f>Table3[[#This Row],[R9]]/10</f>
        <v>2.0499999999999997E-4</v>
      </c>
    </row>
    <row r="39" spans="2:80" ht="15" customHeight="1" thickBot="1">
      <c r="B39" s="697" t="s">
        <v>2</v>
      </c>
      <c r="C39" s="698"/>
      <c r="D39" s="699"/>
      <c r="E39" s="702" t="str">
        <f>IF(OR(K8="[Select Device]", K7="[Select Configuration]"), " ", VLOOKUP(K8, Devices[], COLUMN(Devices[INL Drift Typ]), 0))</f>
        <v xml:space="preserve"> </v>
      </c>
      <c r="F39" s="703"/>
      <c r="G39" s="702" t="str">
        <f>IF(OR(K8="[Select Device]", K7="[Select Configuration]"), " ", VLOOKUP(K8, Devices[], COLUMN(Devices[INL Drift Max]), 0))</f>
        <v xml:space="preserve"> </v>
      </c>
      <c r="H39" s="703"/>
      <c r="I39" s="678" t="str">
        <f>IF(OR(K8="[Select Device]", K7="[Select Configuration]"), " ", Temp_Range*10^-6*K32*E39*1000)</f>
        <v xml:space="preserve"> </v>
      </c>
      <c r="J39" s="690"/>
      <c r="K39" s="680" t="str">
        <f>IF(OR(K8="[Select Device]", K7="[Select Configuration]"), " ", Temp_Range*10^-6*K32*G39*1000)</f>
        <v xml:space="preserve"> </v>
      </c>
      <c r="L39" s="681"/>
      <c r="M39" s="24"/>
      <c r="N39" s="499" t="str">
        <f>"Worst-Case Drift from " &amp; K15 &amp; "°C to " &amp; K16 &amp; "°C, Worst Case = 3 * Typical if no max in datasheet"</f>
        <v>Worst-Case Drift from -40°C to 125°C, Worst Case = 3 * Typical if no max in datasheet</v>
      </c>
      <c r="O39" s="499"/>
      <c r="P39" s="499"/>
      <c r="Q39" s="499"/>
      <c r="R39" s="499"/>
      <c r="S39" s="502"/>
      <c r="BI39" s="27">
        <f>1-Temp_Range*10^-6*E67</f>
        <v>1</v>
      </c>
      <c r="BJ39" s="28">
        <f>BI39*BJ35*(1-C73/100)</f>
        <v>12500000</v>
      </c>
      <c r="BL39" s="25" t="s">
        <v>121</v>
      </c>
      <c r="BM39" s="39" t="e">
        <f>$BM$37*$BM$38*1000</f>
        <v>#VALUE!</v>
      </c>
      <c r="BS39" s="69">
        <v>21</v>
      </c>
      <c r="BT39" s="18">
        <f>Table3[[#This Row],[R]]*10</f>
        <v>210</v>
      </c>
      <c r="BU39" s="19">
        <f>Table3[[#This Row],[R2]]*10</f>
        <v>2100</v>
      </c>
      <c r="BV39" s="19">
        <f>Table3[[#This Row],[R3]]*10</f>
        <v>21000</v>
      </c>
      <c r="BW39" s="19">
        <f>Table3[[#This Row],[R4]]*10</f>
        <v>210000</v>
      </c>
      <c r="BX39" s="20">
        <f>Table3[[#This Row],[R]]/10</f>
        <v>2.1</v>
      </c>
      <c r="BY39" s="20">
        <f>Table3[[#This Row],[R6]]/10</f>
        <v>0.21000000000000002</v>
      </c>
      <c r="BZ39" s="20">
        <f>Table3[[#This Row],[R7]]/10</f>
        <v>2.1000000000000001E-2</v>
      </c>
      <c r="CA39" s="20">
        <f>Table3[[#This Row],[R8]]/10</f>
        <v>2.1000000000000003E-3</v>
      </c>
      <c r="CB39" s="20">
        <f>Table3[[#This Row],[R9]]/10</f>
        <v>2.1000000000000004E-4</v>
      </c>
    </row>
    <row r="40" spans="2:80" ht="15" customHeight="1" thickBot="1">
      <c r="B40" s="697" t="s">
        <v>188</v>
      </c>
      <c r="C40" s="698"/>
      <c r="D40" s="699"/>
      <c r="E40" s="702" t="s">
        <v>116</v>
      </c>
      <c r="F40" s="703"/>
      <c r="G40" s="702" t="s">
        <v>116</v>
      </c>
      <c r="H40" s="703"/>
      <c r="I40" s="749" t="str">
        <f>IF(OR(K8="[Select Device]",K7="[Select Configuration]")," ",I36*E34*VLOOKUP(K8,Devices[],COLUMN(Devices[Gain]),0)+I37*E34*VLOOKUP(K8,Devices[],COLUMN(Devices[Gain]),0))</f>
        <v xml:space="preserve"> </v>
      </c>
      <c r="J40" s="780"/>
      <c r="K40" s="749" t="str">
        <f>IF(OR(K8="[Select Device]", K7="[Select Configuration]"), " ", K36*G34*VLOOKUP(K8,Devices[],COLUMN(Devices[Gain]),0)+K37*G34*VLOOKUP(K8,Devices[],COLUMN(Devices[Gain]),0))</f>
        <v xml:space="preserve"> </v>
      </c>
      <c r="L40" s="750"/>
      <c r="M40" s="24"/>
      <c r="N40" s="498" t="s">
        <v>117</v>
      </c>
      <c r="O40" s="498"/>
      <c r="P40" s="498"/>
      <c r="Q40" s="498"/>
      <c r="R40" s="498"/>
      <c r="S40" s="504"/>
      <c r="BI40" s="79">
        <f>1+Temp_Range*10^-6*E67</f>
        <v>1</v>
      </c>
      <c r="BJ40" s="38">
        <f>BI40*BJ37*(1+C73/100)</f>
        <v>12500000</v>
      </c>
      <c r="BL40" s="70" t="s">
        <v>123</v>
      </c>
      <c r="BM40" s="39" t="e">
        <f>$BM$39+$BM$20</f>
        <v>#VALUE!</v>
      </c>
      <c r="BS40" s="55">
        <v>21.5</v>
      </c>
      <c r="BT40" s="18">
        <f>Table3[[#This Row],[R]]*10</f>
        <v>215</v>
      </c>
      <c r="BU40" s="19">
        <f>Table3[[#This Row],[R2]]*10</f>
        <v>2150</v>
      </c>
      <c r="BV40" s="19">
        <f>Table3[[#This Row],[R3]]*10</f>
        <v>21500</v>
      </c>
      <c r="BW40" s="19">
        <f>Table3[[#This Row],[R4]]*10</f>
        <v>215000</v>
      </c>
      <c r="BX40" s="20">
        <f>Table3[[#This Row],[R]]/10</f>
        <v>2.15</v>
      </c>
      <c r="BY40" s="20">
        <f>Table3[[#This Row],[R6]]/10</f>
        <v>0.215</v>
      </c>
      <c r="BZ40" s="20">
        <f>Table3[[#This Row],[R7]]/10</f>
        <v>2.1499999999999998E-2</v>
      </c>
      <c r="CA40" s="20">
        <f>Table3[[#This Row],[R8]]/10</f>
        <v>2.15E-3</v>
      </c>
      <c r="CB40" s="20">
        <f>Table3[[#This Row],[R9]]/10</f>
        <v>2.1499999999999999E-4</v>
      </c>
    </row>
    <row r="41" spans="2:80" ht="15" customHeight="1" thickBot="1">
      <c r="B41" s="697" t="s">
        <v>100</v>
      </c>
      <c r="C41" s="698"/>
      <c r="D41" s="699"/>
      <c r="E41" s="778" t="str">
        <f>IF(OR(K8="[Select Device]", K7="[Select Configuration]"), " ", G41/4)</f>
        <v xml:space="preserve"> </v>
      </c>
      <c r="F41" s="779"/>
      <c r="G41" s="778" t="str">
        <f>IF(OR(K8="[Select Device]", K7="[Select Configuration]"), " ", ABS(BJ19))</f>
        <v xml:space="preserve"> </v>
      </c>
      <c r="H41" s="779"/>
      <c r="I41" s="678" t="str">
        <f>IF(OR(K8="[Select Device]", K7="[Select Configuration]"), " ", E41*K32*1000)</f>
        <v xml:space="preserve"> </v>
      </c>
      <c r="J41" s="690"/>
      <c r="K41" s="680" t="str">
        <f>IF(OR(K8="[Select Device]", K7="[Select Configuration]"), " ", G41*K32*1000)</f>
        <v xml:space="preserve"> </v>
      </c>
      <c r="L41" s="681"/>
      <c r="M41" s="24"/>
      <c r="N41" s="498" t="s">
        <v>327</v>
      </c>
      <c r="O41" s="498"/>
      <c r="P41" s="498"/>
      <c r="Q41" s="498"/>
      <c r="R41" s="498"/>
      <c r="S41" s="504"/>
      <c r="BI41" s="737" t="s">
        <v>293</v>
      </c>
      <c r="BJ41" s="738"/>
      <c r="BL41" s="737" t="s">
        <v>144</v>
      </c>
      <c r="BM41" s="738"/>
      <c r="BS41" s="62">
        <v>22.1</v>
      </c>
      <c r="BT41" s="18">
        <f>Table3[[#This Row],[R]]*10</f>
        <v>221</v>
      </c>
      <c r="BU41" s="19">
        <f>Table3[[#This Row],[R2]]*10</f>
        <v>2210</v>
      </c>
      <c r="BV41" s="19">
        <f>Table3[[#This Row],[R3]]*10</f>
        <v>22100</v>
      </c>
      <c r="BW41" s="19">
        <f>Table3[[#This Row],[R4]]*10</f>
        <v>221000</v>
      </c>
      <c r="BX41" s="20">
        <f>Table3[[#This Row],[R]]/10</f>
        <v>2.21</v>
      </c>
      <c r="BY41" s="20">
        <f>Table3[[#This Row],[R6]]/10</f>
        <v>0.221</v>
      </c>
      <c r="BZ41" s="20">
        <f>Table3[[#This Row],[R7]]/10</f>
        <v>2.2100000000000002E-2</v>
      </c>
      <c r="CA41" s="20">
        <f>Table3[[#This Row],[R8]]/10</f>
        <v>2.2100000000000002E-3</v>
      </c>
      <c r="CB41" s="20">
        <f>Table3[[#This Row],[R9]]/10</f>
        <v>2.2100000000000001E-4</v>
      </c>
    </row>
    <row r="42" spans="2:80" ht="15" customHeight="1" thickBot="1">
      <c r="B42" s="697" t="s">
        <v>101</v>
      </c>
      <c r="C42" s="698"/>
      <c r="D42" s="699"/>
      <c r="E42" s="702" t="str">
        <f>IF(OR(K8="[Select Device]", K7="[Select Configuration]"), " ", 3)</f>
        <v xml:space="preserve"> </v>
      </c>
      <c r="F42" s="703"/>
      <c r="G42" s="702" t="str">
        <f>IF(OR(K8="[Select Device]", K7="[Select Configuration]"), " ", 10)</f>
        <v xml:space="preserve"> </v>
      </c>
      <c r="H42" s="703"/>
      <c r="I42" s="680" t="str">
        <f>IF(OR(K8="[Select Device]", K7="[Select Configuration]"), " ", K42/3)</f>
        <v xml:space="preserve"> </v>
      </c>
      <c r="J42" s="781"/>
      <c r="K42" s="680" t="str">
        <f>IF(OR(K8="[Select Device]", K7="[Select Configuration]"), " ", (K24-K26)*VLOOKUP(K8,Devices[],COLUMN(Devices[Gain]),0))</f>
        <v xml:space="preserve"> </v>
      </c>
      <c r="L42" s="681"/>
      <c r="M42" s="24"/>
      <c r="N42" s="498" t="s">
        <v>326</v>
      </c>
      <c r="O42" s="498"/>
      <c r="P42" s="498"/>
      <c r="Q42" s="498"/>
      <c r="R42" s="498"/>
      <c r="S42" s="504"/>
      <c r="BI42" s="27" t="s">
        <v>295</v>
      </c>
      <c r="BJ42" s="28" t="e">
        <f>BJ43*(1-E68/100)</f>
        <v>#VALUE!</v>
      </c>
      <c r="BL42" s="34" t="s">
        <v>120</v>
      </c>
      <c r="BM42" s="35" t="e">
        <f>1/((1/$BM$19)+(1/($K$13+BJ30)))</f>
        <v>#VALUE!</v>
      </c>
      <c r="BS42" s="62">
        <v>22.6</v>
      </c>
      <c r="BT42" s="18">
        <f>Table3[[#This Row],[R]]*10</f>
        <v>226</v>
      </c>
      <c r="BU42" s="19">
        <f>Table3[[#This Row],[R2]]*10</f>
        <v>2260</v>
      </c>
      <c r="BV42" s="19">
        <f>Table3[[#This Row],[R3]]*10</f>
        <v>22600</v>
      </c>
      <c r="BW42" s="19">
        <f>Table3[[#This Row],[R4]]*10</f>
        <v>226000</v>
      </c>
      <c r="BX42" s="20">
        <f>Table3[[#This Row],[R]]/10</f>
        <v>2.2600000000000002</v>
      </c>
      <c r="BY42" s="20">
        <f>Table3[[#This Row],[R6]]/10</f>
        <v>0.22600000000000003</v>
      </c>
      <c r="BZ42" s="20">
        <f>Table3[[#This Row],[R7]]/10</f>
        <v>2.2600000000000002E-2</v>
      </c>
      <c r="CA42" s="20">
        <f>Table3[[#This Row],[R8]]/10</f>
        <v>2.2600000000000003E-3</v>
      </c>
      <c r="CB42" s="20">
        <f>Table3[[#This Row],[R9]]/10</f>
        <v>2.2600000000000002E-4</v>
      </c>
    </row>
    <row r="43" spans="2:80" ht="15" customHeight="1" thickBot="1">
      <c r="B43" s="775" t="s">
        <v>189</v>
      </c>
      <c r="C43" s="776"/>
      <c r="D43" s="777"/>
      <c r="E43" s="702" t="s">
        <v>116</v>
      </c>
      <c r="F43" s="703"/>
      <c r="G43" s="702" t="s">
        <v>116</v>
      </c>
      <c r="H43" s="703"/>
      <c r="I43" s="680" t="str">
        <f>IF(OR(K8="[Select Device]", K7="[Select Configuration]"), " ", IF(OR(K7="Differential without R3'",K7="Single-Ended"),BM20*VLOOKUP(K8,Devices[],COLUMN(Devices[Gain]),0),0))</f>
        <v xml:space="preserve"> </v>
      </c>
      <c r="J43" s="781"/>
      <c r="K43" s="680" t="str">
        <f>IF(OR(K8="[Select Device]", K7="[Select Configuration]"), " ", IF(OR(K7="Differential without R3'",K7="Single-Ended"),BM20*VLOOKUP(K8,Devices[],COLUMN(Devices[Gain]),0),0))</f>
        <v xml:space="preserve"> </v>
      </c>
      <c r="L43" s="681"/>
      <c r="M43" s="24"/>
      <c r="N43" s="498" t="s">
        <v>525</v>
      </c>
      <c r="O43" s="498"/>
      <c r="P43" s="498"/>
      <c r="Q43" s="498"/>
      <c r="R43" s="498"/>
      <c r="S43" s="504"/>
      <c r="BI43" s="79" t="s">
        <v>296</v>
      </c>
      <c r="BJ43" s="80" t="str">
        <f>IF(P37="[Select Configuration]"," ",IF(P38="[Select Device]","e in the User Inputs.  ",K19))</f>
        <v xml:space="preserve"> </v>
      </c>
      <c r="BL43" s="25" t="s">
        <v>122</v>
      </c>
      <c r="BM43" s="43" t="e">
        <f>$K$9/($K$10+$K$11+$BM$42)</f>
        <v>#VALUE!</v>
      </c>
      <c r="BS43" s="62">
        <v>23.2</v>
      </c>
      <c r="BT43" s="18">
        <f>Table3[[#This Row],[R]]*10</f>
        <v>232</v>
      </c>
      <c r="BU43" s="19">
        <f>Table3[[#This Row],[R2]]*10</f>
        <v>2320</v>
      </c>
      <c r="BV43" s="19">
        <f>Table3[[#This Row],[R3]]*10</f>
        <v>23200</v>
      </c>
      <c r="BW43" s="19">
        <f>Table3[[#This Row],[R4]]*10</f>
        <v>232000</v>
      </c>
      <c r="BX43" s="20">
        <f>Table3[[#This Row],[R]]/10</f>
        <v>2.3199999999999998</v>
      </c>
      <c r="BY43" s="20">
        <f>Table3[[#This Row],[R6]]/10</f>
        <v>0.23199999999999998</v>
      </c>
      <c r="BZ43" s="20">
        <f>Table3[[#This Row],[R7]]/10</f>
        <v>2.3199999999999998E-2</v>
      </c>
      <c r="CA43" s="20">
        <f>Table3[[#This Row],[R8]]/10</f>
        <v>2.32E-3</v>
      </c>
      <c r="CB43" s="20">
        <f>Table3[[#This Row],[R9]]/10</f>
        <v>2.32E-4</v>
      </c>
    </row>
    <row r="44" spans="2:80" ht="15.75" hidden="1" customHeight="1" thickBot="1">
      <c r="B44" s="81" t="s">
        <v>329</v>
      </c>
      <c r="C44" s="82">
        <v>1E-3</v>
      </c>
      <c r="D44" s="82">
        <v>0.03</v>
      </c>
      <c r="E44" s="83">
        <f>0*(C44/1000*(300000-300000*-1.002))*VLOOKUP(K8,Devices[],COLUMN(Devices[Gain]),0)</f>
        <v>0</v>
      </c>
      <c r="F44" s="84">
        <f>0*(D44/1000*(300000-300000*-1.002))*VLOOKUP(K8,Devices[],COLUMN(Devices[Gain]),0)</f>
        <v>0</v>
      </c>
      <c r="G44" s="85" t="s">
        <v>330</v>
      </c>
      <c r="H44" s="86"/>
      <c r="I44" s="86"/>
      <c r="J44" s="86"/>
      <c r="K44" s="86"/>
      <c r="L44" s="87"/>
      <c r="M44" s="24"/>
      <c r="N44" s="24"/>
      <c r="O44" s="24"/>
      <c r="P44" s="24"/>
      <c r="Q44" s="24"/>
      <c r="R44" s="24"/>
      <c r="S44" s="43"/>
      <c r="BI44" s="79"/>
      <c r="BJ44" s="80"/>
      <c r="BL44" s="25"/>
      <c r="BM44" s="43"/>
      <c r="BS44" s="88"/>
      <c r="BT44" s="89">
        <f>Table3[[#This Row],[R]]*10</f>
        <v>0</v>
      </c>
      <c r="BU44" s="90">
        <f>Table3[[#This Row],[R2]]*10</f>
        <v>0</v>
      </c>
      <c r="BV44" s="90">
        <f>Table3[[#This Row],[R3]]*10</f>
        <v>0</v>
      </c>
      <c r="BW44" s="90">
        <f>Table3[[#This Row],[R]]/10</f>
        <v>0</v>
      </c>
      <c r="BX44" s="90">
        <f>Table3[[#This Row],[R5]]/10</f>
        <v>0</v>
      </c>
      <c r="BY44" s="90">
        <f>Table3[[#This Row],[R6]]/10</f>
        <v>0</v>
      </c>
      <c r="BZ44" s="90">
        <f>Table3[[#This Row],[R7]]/10</f>
        <v>0</v>
      </c>
      <c r="CA44" s="90">
        <f>Table3[[#This Row],[R8]]/10</f>
        <v>0</v>
      </c>
      <c r="CB44" s="90">
        <f>Table3[[#This Row],[R9]]/10</f>
        <v>0</v>
      </c>
    </row>
    <row r="45" spans="2:80" ht="20.100000000000001" customHeight="1" thickBot="1">
      <c r="B45" s="91" t="s">
        <v>20</v>
      </c>
      <c r="C45" s="92"/>
      <c r="D45" s="92"/>
      <c r="E45" s="622" t="s">
        <v>332</v>
      </c>
      <c r="F45" s="623"/>
      <c r="G45" s="640" t="s">
        <v>337</v>
      </c>
      <c r="H45" s="640"/>
      <c r="I45" s="622" t="s">
        <v>331</v>
      </c>
      <c r="J45" s="623"/>
      <c r="K45" s="622" t="s">
        <v>331</v>
      </c>
      <c r="L45" s="640"/>
      <c r="M45" s="622" t="s">
        <v>339</v>
      </c>
      <c r="N45" s="623"/>
      <c r="O45" s="622" t="s">
        <v>338</v>
      </c>
      <c r="P45" s="623"/>
      <c r="Q45" s="24"/>
      <c r="R45" s="24"/>
      <c r="S45" s="43"/>
      <c r="BI45" s="37" t="s">
        <v>297</v>
      </c>
      <c r="BJ45" s="38" t="e">
        <f>BJ43*(1+E68/100)</f>
        <v>#VALUE!</v>
      </c>
      <c r="BL45" s="25" t="s">
        <v>121</v>
      </c>
      <c r="BM45" s="39" t="e">
        <f>$BM$42*$BM$43*1000</f>
        <v>#VALUE!</v>
      </c>
      <c r="BS45" s="62">
        <v>23.7</v>
      </c>
      <c r="BT45" s="18">
        <f>Table3[[#This Row],[R]]*10</f>
        <v>237</v>
      </c>
      <c r="BU45" s="19">
        <f>Table3[[#This Row],[R2]]*10</f>
        <v>2370</v>
      </c>
      <c r="BV45" s="19">
        <f>Table3[[#This Row],[R3]]*10</f>
        <v>23700</v>
      </c>
      <c r="BW45" s="19">
        <f>Table3[[#This Row],[R4]]*10</f>
        <v>237000</v>
      </c>
      <c r="BX45" s="20">
        <f>Table3[[#This Row],[R]]/10</f>
        <v>2.37</v>
      </c>
      <c r="BY45" s="20">
        <f>Table3[[#This Row],[R6]]/10</f>
        <v>0.23700000000000002</v>
      </c>
      <c r="BZ45" s="20">
        <f>Table3[[#This Row],[R7]]/10</f>
        <v>2.3700000000000002E-2</v>
      </c>
      <c r="CA45" s="20">
        <f>Table3[[#This Row],[R8]]/10</f>
        <v>2.3700000000000001E-3</v>
      </c>
      <c r="CB45" s="20">
        <f>Table3[[#This Row],[R9]]/10</f>
        <v>2.3700000000000001E-4</v>
      </c>
    </row>
    <row r="46" spans="2:80" ht="15" customHeight="1" thickBot="1">
      <c r="B46" s="474" t="s">
        <v>333</v>
      </c>
      <c r="C46" s="475"/>
      <c r="D46" s="475"/>
      <c r="E46" s="624" t="str">
        <f>IF(OR(K7="[Select Configuration]", K8="[Select Device]", K8=" "), " ",(SQRT(SUMSQ(I34:I42,E44)))+I43)</f>
        <v xml:space="preserve"> </v>
      </c>
      <c r="F46" s="625"/>
      <c r="G46" s="635" t="str">
        <f>IF(OR(K7="[Select Configuration]", $K$8="[Select Device]", K8=" "), " ", E46/1000/($K$32-$I$43/1000))</f>
        <v xml:space="preserve"> </v>
      </c>
      <c r="H46" s="635"/>
      <c r="I46" s="624" t="str">
        <f>IF(OR(K7="[Select Configuration]", K8="[Select Device]", K8=" "), " ",(SQRT(SUMSQ(K34:L42,F44)))+K43)</f>
        <v xml:space="preserve"> </v>
      </c>
      <c r="J46" s="625"/>
      <c r="K46" s="634" t="str">
        <f>IF(OR($K$7="[Select Configuration]", $K$8="[Select Device]", $K$8=" "), " ",I46/1000/($K$32-$K$43/1000))</f>
        <v xml:space="preserve"> </v>
      </c>
      <c r="L46" s="635"/>
      <c r="M46" s="624" t="str">
        <f>IF(OR(K7="[Select Configuration]", K8="[Select Device]", K8=" "), " ",((SUM(K34:L42,F44)))+K43)</f>
        <v xml:space="preserve"> </v>
      </c>
      <c r="N46" s="625"/>
      <c r="O46" s="626" t="str">
        <f>IF(OR(K7="[Select Configuration]", K8="[Select Device]", K8=" "), " ",M46/1000/($K$32-$K$43/1000))</f>
        <v xml:space="preserve"> </v>
      </c>
      <c r="P46" s="627"/>
      <c r="Q46" s="499"/>
      <c r="R46" s="473" t="s">
        <v>111</v>
      </c>
      <c r="S46" s="502"/>
      <c r="BI46" s="784" t="s">
        <v>300</v>
      </c>
      <c r="BJ46" s="785"/>
      <c r="BL46" s="70" t="s">
        <v>123</v>
      </c>
      <c r="BM46" s="51" t="e">
        <f>$BM$45+$BM$20</f>
        <v>#VALUE!</v>
      </c>
      <c r="BS46" s="62">
        <v>24.3</v>
      </c>
      <c r="BT46" s="18">
        <f>Table3[[#This Row],[R]]*10</f>
        <v>243</v>
      </c>
      <c r="BU46" s="19">
        <f>Table3[[#This Row],[R2]]*10</f>
        <v>2430</v>
      </c>
      <c r="BV46" s="19">
        <f>Table3[[#This Row],[R3]]*10</f>
        <v>24300</v>
      </c>
      <c r="BW46" s="19">
        <f>Table3[[#This Row],[R4]]*10</f>
        <v>243000</v>
      </c>
      <c r="BX46" s="20">
        <f>Table3[[#This Row],[R]]/10</f>
        <v>2.4300000000000002</v>
      </c>
      <c r="BY46" s="20">
        <f>Table3[[#This Row],[R6]]/10</f>
        <v>0.24300000000000002</v>
      </c>
      <c r="BZ46" s="20">
        <f>Table3[[#This Row],[R7]]/10</f>
        <v>2.4300000000000002E-2</v>
      </c>
      <c r="CA46" s="20">
        <f>Table3[[#This Row],[R8]]/10</f>
        <v>2.4300000000000003E-3</v>
      </c>
      <c r="CB46" s="20">
        <f>Table3[[#This Row],[R9]]/10</f>
        <v>2.4300000000000002E-4</v>
      </c>
    </row>
    <row r="47" spans="2:80" ht="15" customHeight="1" thickBot="1">
      <c r="B47" s="93" t="s">
        <v>334</v>
      </c>
      <c r="C47" s="94"/>
      <c r="D47" s="94"/>
      <c r="E47" s="624" t="str">
        <f>IF(OR(K7="[Select Configuration]", K8="[Select Device]", K8=" "), " ",SQRT(SUMSQ(I34,I35,I37,I38,I39,I41,I42)))</f>
        <v xml:space="preserve"> </v>
      </c>
      <c r="F47" s="625"/>
      <c r="G47" s="635" t="str">
        <f>IF(OR(K8="[Select Configuration]", $K$8="[Select Device]", K9=" "), " ", E47/1000/($K$32-$I$43/1000))</f>
        <v xml:space="preserve"> </v>
      </c>
      <c r="H47" s="635"/>
      <c r="I47" s="624" t="str">
        <f>IF(OR(K7="[Select Configuration]",K8="[Select Device]",K8=" ")," ",SQRT(SUMSQ(K34,K35,K37,K38,K39,K41,K42)))</f>
        <v xml:space="preserve"> </v>
      </c>
      <c r="J47" s="625"/>
      <c r="K47" s="634" t="str">
        <f>IF(OR($K$7="[Select Configuration]", $K$8="[Select Device]", $K$8=" "), " ",I47/1000/($K$32-$K$43/1000))</f>
        <v xml:space="preserve"> </v>
      </c>
      <c r="L47" s="635"/>
      <c r="M47" s="624" t="str">
        <f>IF(OR(K7="[Select Configuration]",K8="[Select Device]",K8=" ")," ",(SUM(K34,K35,K37,K38,K39,K41,K42)))</f>
        <v xml:space="preserve"> </v>
      </c>
      <c r="N47" s="625"/>
      <c r="O47" s="626" t="str">
        <f>IF(OR(K7="[Select Configuration]",K8="[Select Device]",K8=" ")," ",M47/1000/($K$32-$K$43/1000))</f>
        <v xml:space="preserve"> </v>
      </c>
      <c r="P47" s="627"/>
      <c r="Q47" s="498"/>
      <c r="R47" s="473" t="s">
        <v>526</v>
      </c>
      <c r="S47" s="504"/>
      <c r="BI47" s="27">
        <f>1-Temp_Range*10^-6*E69</f>
        <v>1</v>
      </c>
      <c r="BJ47" s="28" t="e">
        <f>BI47*BJ42*(1-C76/100)</f>
        <v>#VALUE!</v>
      </c>
      <c r="BS47" s="62">
        <v>24.9</v>
      </c>
      <c r="BT47" s="18">
        <f>Table3[[#This Row],[R]]*10</f>
        <v>249</v>
      </c>
      <c r="BU47" s="19">
        <f>Table3[[#This Row],[R2]]*10</f>
        <v>2490</v>
      </c>
      <c r="BV47" s="19">
        <f>Table3[[#This Row],[R3]]*10</f>
        <v>24900</v>
      </c>
      <c r="BW47" s="19">
        <f>Table3[[#This Row],[R4]]*10</f>
        <v>249000</v>
      </c>
      <c r="BX47" s="20">
        <f>Table3[[#This Row],[R]]/10</f>
        <v>2.4899999999999998</v>
      </c>
      <c r="BY47" s="20">
        <f>Table3[[#This Row],[R6]]/10</f>
        <v>0.24899999999999997</v>
      </c>
      <c r="BZ47" s="20">
        <f>Table3[[#This Row],[R7]]/10</f>
        <v>2.4899999999999999E-2</v>
      </c>
      <c r="CA47" s="20">
        <f>Table3[[#This Row],[R8]]/10</f>
        <v>2.49E-3</v>
      </c>
      <c r="CB47" s="20">
        <f>Table3[[#This Row],[R9]]/10</f>
        <v>2.4899999999999998E-4</v>
      </c>
    </row>
    <row r="48" spans="2:80" ht="15" customHeight="1" thickBot="1">
      <c r="B48" s="93" t="s">
        <v>335</v>
      </c>
      <c r="C48" s="94"/>
      <c r="D48" s="94"/>
      <c r="E48" s="624" t="str">
        <f>IF(OR(K7="[Select Configuration]", K8="[Select Device]", K8=" "), " ",SQRT(SUMSQ(I35,I37,I38,I39,I42)))</f>
        <v xml:space="preserve"> </v>
      </c>
      <c r="F48" s="625"/>
      <c r="G48" s="635" t="str">
        <f>IF(OR(K9="[Select Configuration]", $K$8="[Select Device]", K10=" "), " ", E48/1000/($K$32-$I$43/1000))</f>
        <v xml:space="preserve"> </v>
      </c>
      <c r="H48" s="635"/>
      <c r="I48" s="624" t="str">
        <f>IF(OR(K7="[Select Configuration]", K8="[Select Device]", K8=" "), " ",SQRT(SUMSQ(K35,K37,K38,K39,K42)))</f>
        <v xml:space="preserve"> </v>
      </c>
      <c r="J48" s="625"/>
      <c r="K48" s="634" t="str">
        <f>IF(OR($K$7="[Select Configuration]", $K$8="[Select Device]", $K$8=" "), " ",I48/1000/($K$32-$K$43/1000))</f>
        <v xml:space="preserve"> </v>
      </c>
      <c r="L48" s="635"/>
      <c r="M48" s="624" t="str">
        <f>IF(OR(K7="[Select Configuration]", K8="[Select Device]", K8=" "), " ",(SUM(K35,K37,K38,K39,K42)))</f>
        <v xml:space="preserve"> </v>
      </c>
      <c r="N48" s="625"/>
      <c r="O48" s="626" t="str">
        <f>IF(OR(K7="[Select Configuration]", K8="[Select Device]", K8=" "), " ",M48/1000/($K$32-$K$43/1000))</f>
        <v xml:space="preserve"> </v>
      </c>
      <c r="P48" s="627"/>
      <c r="Q48" s="24"/>
      <c r="R48" s="473" t="s">
        <v>527</v>
      </c>
      <c r="S48" s="43"/>
      <c r="BI48" s="79">
        <f>1+Temp_Range*10^-6*E69</f>
        <v>1</v>
      </c>
      <c r="BJ48" s="38" t="e">
        <f>BI48*BJ45*(1+C76/100)</f>
        <v>#VALUE!</v>
      </c>
      <c r="BS48" s="69">
        <v>25.5</v>
      </c>
      <c r="BT48" s="18">
        <f>Table3[[#This Row],[R]]*10</f>
        <v>255</v>
      </c>
      <c r="BU48" s="19">
        <f>Table3[[#This Row],[R2]]*10</f>
        <v>2550</v>
      </c>
      <c r="BV48" s="19">
        <f>Table3[[#This Row],[R3]]*10</f>
        <v>25500</v>
      </c>
      <c r="BW48" s="19">
        <f>Table3[[#This Row],[R4]]*10</f>
        <v>255000</v>
      </c>
      <c r="BX48" s="20">
        <f>Table3[[#This Row],[R]]/10</f>
        <v>2.5499999999999998</v>
      </c>
      <c r="BY48" s="20">
        <f>Table3[[#This Row],[R6]]/10</f>
        <v>0.255</v>
      </c>
      <c r="BZ48" s="20">
        <f>Table3[[#This Row],[R7]]/10</f>
        <v>2.5500000000000002E-2</v>
      </c>
      <c r="CA48" s="20">
        <f>Table3[[#This Row],[R8]]/10</f>
        <v>2.5500000000000002E-3</v>
      </c>
      <c r="CB48" s="20">
        <f>Table3[[#This Row],[R9]]/10</f>
        <v>2.5500000000000002E-4</v>
      </c>
    </row>
    <row r="49" spans="2:80" ht="15" customHeight="1" thickBot="1">
      <c r="B49" s="95" t="s">
        <v>336</v>
      </c>
      <c r="C49" s="96"/>
      <c r="D49" s="96"/>
      <c r="E49" s="628" t="str">
        <f>IF(OR(K7="[Select Configuration]", K8="[Select Device]", K8=" "), " ",SQRT(SUMSQ(I39,I38)))</f>
        <v xml:space="preserve"> </v>
      </c>
      <c r="F49" s="629"/>
      <c r="G49" s="637" t="str">
        <f>IF(OR(K10="[Select Configuration]", $K$8="[Select Device]", K11=" "), " ", E49/1000/($K$32-$I$43/1000))</f>
        <v xml:space="preserve"> </v>
      </c>
      <c r="H49" s="637"/>
      <c r="I49" s="628" t="str">
        <f>IF(OR(K7="[Select Configuration]", K8="[Select Device]", K8=" "), " ",SQRT(SUMSQ(K39,K38)))</f>
        <v xml:space="preserve"> </v>
      </c>
      <c r="J49" s="629"/>
      <c r="K49" s="636" t="str">
        <f>IF(OR($K$7="[Select Configuration]", $K$8="[Select Device]", $K$8=" "), " ",I49/1000/($K$32-$K$43/1000))</f>
        <v xml:space="preserve"> </v>
      </c>
      <c r="L49" s="637"/>
      <c r="M49" s="628" t="str">
        <f>IF(OR(K7="[Select Configuration]", K8="[Select Device]", K8=" "), " ",(SUM(K39,K38)))</f>
        <v xml:space="preserve"> </v>
      </c>
      <c r="N49" s="629"/>
      <c r="O49" s="630" t="str">
        <f>IF(OR(K7="[Select Configuration]", K8="[Select Device]", K8=" "), " ",M49/1000/($K$32-$K$43/1000))</f>
        <v xml:space="preserve"> </v>
      </c>
      <c r="P49" s="631"/>
      <c r="Q49" s="505"/>
      <c r="R49" s="505"/>
      <c r="S49" s="41"/>
      <c r="BI49" s="737" t="s">
        <v>302</v>
      </c>
      <c r="BJ49" s="738"/>
      <c r="BS49" s="55">
        <v>26.1</v>
      </c>
      <c r="BT49" s="18">
        <f>Table3[[#This Row],[R]]*10</f>
        <v>261</v>
      </c>
      <c r="BU49" s="19">
        <f>Table3[[#This Row],[R2]]*10</f>
        <v>2610</v>
      </c>
      <c r="BV49" s="19">
        <f>Table3[[#This Row],[R3]]*10</f>
        <v>26100</v>
      </c>
      <c r="BW49" s="19">
        <f>Table3[[#This Row],[R4]]*10</f>
        <v>261000</v>
      </c>
      <c r="BX49" s="20">
        <f>Table3[[#This Row],[R]]/10</f>
        <v>2.6100000000000003</v>
      </c>
      <c r="BY49" s="20">
        <f>Table3[[#This Row],[R6]]/10</f>
        <v>0.26100000000000001</v>
      </c>
      <c r="BZ49" s="20">
        <f>Table3[[#This Row],[R7]]/10</f>
        <v>2.6100000000000002E-2</v>
      </c>
      <c r="CA49" s="20">
        <f>Table3[[#This Row],[R8]]/10</f>
        <v>2.6100000000000003E-3</v>
      </c>
      <c r="CB49" s="20">
        <f>Table3[[#This Row],[R9]]/10</f>
        <v>2.6100000000000006E-4</v>
      </c>
    </row>
    <row r="50" spans="2:80" ht="15" customHeight="1" thickBot="1">
      <c r="B50" s="428"/>
      <c r="C50" s="428"/>
      <c r="D50" s="428"/>
      <c r="E50" s="437"/>
      <c r="F50" s="437"/>
      <c r="G50" s="437"/>
      <c r="H50" s="437"/>
      <c r="I50" s="438"/>
      <c r="J50" s="657" t="str">
        <f>IF(IF(K7="[Select Configuration]", "Differential", IF(K8="[Select Device]", "Differential", VLOOKUP(K8, Devices[], COLUMN(Devices[Output Type]), 0)))="Differential", "", "This device has single-ended or ratiometric output. Set values listed in left column.")</f>
        <v/>
      </c>
      <c r="K50" s="657"/>
      <c r="L50" s="657"/>
      <c r="M50" s="64"/>
      <c r="N50" s="64"/>
      <c r="BI50" s="432"/>
      <c r="BJ50" s="433"/>
      <c r="BS50" s="434"/>
      <c r="BT50" s="435">
        <f>Table3[[#This Row],[R]]*10</f>
        <v>0</v>
      </c>
      <c r="BU50" s="436">
        <f>Table3[[#This Row],[R2]]*10</f>
        <v>0</v>
      </c>
      <c r="BV50" s="436">
        <f>Table3[[#This Row],[R3]]*10</f>
        <v>0</v>
      </c>
      <c r="BW50" s="436">
        <f>Table3[[#This Row],[R]]/10</f>
        <v>0</v>
      </c>
      <c r="BX50" s="436">
        <f>Table3[[#This Row],[R5]]/10</f>
        <v>0</v>
      </c>
      <c r="BY50" s="436">
        <f>Table3[[#This Row],[R6]]/10</f>
        <v>0</v>
      </c>
      <c r="BZ50" s="436">
        <f>Table3[[#This Row],[R7]]/10</f>
        <v>0</v>
      </c>
      <c r="CA50" s="436">
        <f>Table3[[#This Row],[R8]]/10</f>
        <v>0</v>
      </c>
      <c r="CB50" s="436">
        <f>Table3[[#This Row],[R9]]/10</f>
        <v>0</v>
      </c>
    </row>
    <row r="51" spans="2:80" ht="15" customHeight="1" thickBot="1">
      <c r="B51" s="97"/>
      <c r="C51" s="97"/>
      <c r="D51" s="97"/>
      <c r="E51" s="24"/>
      <c r="F51" s="24"/>
      <c r="G51" s="24"/>
      <c r="H51" s="98"/>
      <c r="I51" s="98"/>
      <c r="J51" s="658"/>
      <c r="K51" s="658"/>
      <c r="L51" s="658"/>
      <c r="BI51" s="44" t="s">
        <v>94</v>
      </c>
      <c r="BJ51" s="47" t="e">
        <f>K9*K19/(K19+BJ36)*1000</f>
        <v>#VALUE!</v>
      </c>
      <c r="BS51" s="62">
        <v>26.7</v>
      </c>
      <c r="BT51" s="18">
        <f>Table3[[#This Row],[R]]*10</f>
        <v>267</v>
      </c>
      <c r="BU51" s="19">
        <f>Table3[[#This Row],[R2]]*10</f>
        <v>2670</v>
      </c>
      <c r="BV51" s="19">
        <f>Table3[[#This Row],[R3]]*10</f>
        <v>26700</v>
      </c>
      <c r="BW51" s="19">
        <f>Table3[[#This Row],[R4]]*10</f>
        <v>267000</v>
      </c>
      <c r="BX51" s="20">
        <f>Table3[[#This Row],[R]]/10</f>
        <v>2.67</v>
      </c>
      <c r="BY51" s="20">
        <f>Table3[[#This Row],[R6]]/10</f>
        <v>0.26700000000000002</v>
      </c>
      <c r="BZ51" s="20">
        <f>Table3[[#This Row],[R7]]/10</f>
        <v>2.6700000000000002E-2</v>
      </c>
      <c r="CA51" s="20">
        <f>Table3[[#This Row],[R8]]/10</f>
        <v>2.6700000000000001E-3</v>
      </c>
      <c r="CB51" s="20">
        <f>Table3[[#This Row],[R9]]/10</f>
        <v>2.6699999999999998E-4</v>
      </c>
    </row>
    <row r="52" spans="2:80" ht="17.649999999999999" thickBot="1">
      <c r="B52" s="97"/>
      <c r="C52" s="97"/>
      <c r="D52" s="97"/>
      <c r="E52" s="24"/>
      <c r="F52" s="24"/>
      <c r="G52" s="24"/>
      <c r="H52" s="98"/>
      <c r="I52" s="98"/>
      <c r="J52" s="647" t="s">
        <v>343</v>
      </c>
      <c r="K52" s="648"/>
      <c r="L52" s="649"/>
      <c r="N52" s="782" t="s">
        <v>345</v>
      </c>
      <c r="O52" s="783"/>
      <c r="BI52" s="44"/>
      <c r="BJ52" s="47"/>
      <c r="BS52" s="77"/>
      <c r="BT52" s="78">
        <f>Table3[[#This Row],[R]]*10</f>
        <v>0</v>
      </c>
      <c r="BU52" s="20">
        <f>Table3[[#This Row],[R2]]*10</f>
        <v>0</v>
      </c>
      <c r="BV52" s="20">
        <f>Table3[[#This Row],[R3]]*10</f>
        <v>0</v>
      </c>
      <c r="BW52" s="20">
        <f>Table3[[#This Row],[R]]/10</f>
        <v>0</v>
      </c>
      <c r="BX52" s="20">
        <f>Table3[[#This Row],[R5]]/10</f>
        <v>0</v>
      </c>
      <c r="BY52" s="20">
        <f>Table3[[#This Row],[R6]]/10</f>
        <v>0</v>
      </c>
      <c r="BZ52" s="20">
        <f>Table3[[#This Row],[R7]]/10</f>
        <v>0</v>
      </c>
      <c r="CA52" s="20">
        <f>Table3[[#This Row],[R8]]/10</f>
        <v>0</v>
      </c>
      <c r="CB52" s="20">
        <f>Table3[[#This Row],[R9]]/10</f>
        <v>0</v>
      </c>
    </row>
    <row r="53" spans="2:80" ht="26.1" customHeight="1" thickBot="1">
      <c r="B53" s="97"/>
      <c r="C53" s="97"/>
      <c r="D53" s="97"/>
      <c r="E53" s="24"/>
      <c r="F53" s="24"/>
      <c r="G53" s="24"/>
      <c r="H53" s="98"/>
      <c r="I53" s="98"/>
      <c r="J53" s="643" t="s">
        <v>439</v>
      </c>
      <c r="K53" s="644"/>
      <c r="L53" s="148" t="str">
        <f>IF(OR(K8="[Select Device]",K7="[Select Configuration]")," ", (L55+(ABS(2.5-(5*10*(1+(L57)/100))/(10*(1+(L57)/100)+10*(1-(L57)/100)))*1000)))</f>
        <v xml:space="preserve"> </v>
      </c>
      <c r="N53" s="99" t="s">
        <v>346</v>
      </c>
      <c r="O53" s="506" t="str">
        <f>E74</f>
        <v xml:space="preserve"> </v>
      </c>
      <c r="BI53" s="25" t="s">
        <v>303</v>
      </c>
      <c r="BJ53" s="47" t="e">
        <f>K9*K19/(K19+BJ35)*1000</f>
        <v>#VALUE!</v>
      </c>
      <c r="BS53" s="62">
        <v>27.4</v>
      </c>
      <c r="BT53" s="18">
        <f>Table3[[#This Row],[R]]*10</f>
        <v>274</v>
      </c>
      <c r="BU53" s="19">
        <f>Table3[[#This Row],[R2]]*10</f>
        <v>2740</v>
      </c>
      <c r="BV53" s="19">
        <f>Table3[[#This Row],[R3]]*10</f>
        <v>27400</v>
      </c>
      <c r="BW53" s="19">
        <f>Table3[[#This Row],[R4]]*10</f>
        <v>274000</v>
      </c>
      <c r="BX53" s="20">
        <f>Table3[[#This Row],[R]]/10</f>
        <v>2.7399999999999998</v>
      </c>
      <c r="BY53" s="20">
        <f>Table3[[#This Row],[R6]]/10</f>
        <v>0.27399999999999997</v>
      </c>
      <c r="BZ53" s="20">
        <f>Table3[[#This Row],[R7]]/10</f>
        <v>2.7399999999999997E-2</v>
      </c>
      <c r="CA53" s="20">
        <f>Table3[[#This Row],[R8]]/10</f>
        <v>2.7399999999999998E-3</v>
      </c>
      <c r="CB53" s="20">
        <f>Table3[[#This Row],[R9]]/10</f>
        <v>2.7399999999999999E-4</v>
      </c>
    </row>
    <row r="54" spans="2:80" ht="26.1" customHeight="1" thickBot="1">
      <c r="B54" s="97"/>
      <c r="C54" s="97"/>
      <c r="D54" s="97"/>
      <c r="E54" s="24"/>
      <c r="F54" s="24"/>
      <c r="G54" s="24"/>
      <c r="H54" s="98"/>
      <c r="I54" s="98"/>
      <c r="J54" s="650" t="s">
        <v>440</v>
      </c>
      <c r="K54" s="651"/>
      <c r="L54" s="149" t="str">
        <f>IF(OR(K8="[Select Device]", K7="[Select Configuration]"), " ", (L56*Temp_Range/1000+(ABS(2.5-(5*10*(1+(L58*Temp_Range/1000000)/100))/(10*(1+(L58*Temp_Range/1000000)/100)+10*(1-(L58*Temp_Range/1000000)/100)))*1000)))</f>
        <v xml:space="preserve"> </v>
      </c>
      <c r="N54" s="100" t="s">
        <v>347</v>
      </c>
      <c r="O54" s="496" t="str">
        <f>F74</f>
        <v xml:space="preserve"> </v>
      </c>
      <c r="BI54" s="25" t="s">
        <v>304</v>
      </c>
      <c r="BJ54" s="47" t="e">
        <f>K9*K19/(K19+BJ37)*1000</f>
        <v>#VALUE!</v>
      </c>
      <c r="BS54" s="62">
        <v>28</v>
      </c>
      <c r="BT54" s="18">
        <f>Table3[[#This Row],[R]]*10</f>
        <v>280</v>
      </c>
      <c r="BU54" s="19">
        <f>Table3[[#This Row],[R2]]*10</f>
        <v>2800</v>
      </c>
      <c r="BV54" s="19">
        <f>Table3[[#This Row],[R3]]*10</f>
        <v>28000</v>
      </c>
      <c r="BW54" s="19">
        <f>Table3[[#This Row],[R4]]*10</f>
        <v>280000</v>
      </c>
      <c r="BX54" s="20">
        <f>Table3[[#This Row],[R]]/10</f>
        <v>2.8</v>
      </c>
      <c r="BY54" s="20">
        <f>Table3[[#This Row],[R6]]/10</f>
        <v>0.27999999999999997</v>
      </c>
      <c r="BZ54" s="20">
        <f>Table3[[#This Row],[R7]]/10</f>
        <v>2.7999999999999997E-2</v>
      </c>
      <c r="CA54" s="20">
        <f>Table3[[#This Row],[R8]]/10</f>
        <v>2.7999999999999995E-3</v>
      </c>
      <c r="CB54" s="20">
        <f>Table3[[#This Row],[R9]]/10</f>
        <v>2.7999999999999998E-4</v>
      </c>
    </row>
    <row r="55" spans="2:80" ht="26.1" customHeight="1">
      <c r="B55" s="97"/>
      <c r="C55" s="97"/>
      <c r="D55" s="97"/>
      <c r="E55" s="24"/>
      <c r="F55" s="24"/>
      <c r="G55" s="24"/>
      <c r="H55" s="98"/>
      <c r="I55" s="98"/>
      <c r="J55" s="645" t="str">
        <f>IF(IF(K7="[Select Configuration]", "Differential", IF(K8="[Select Device]", "Differential", VLOOKUP(K8, Devices[], COLUMN(Devices[Output Type]), 0)))="Differential", "OPA Input Offset", "OPA Input Offset =  0")</f>
        <v>OPA Input Offset</v>
      </c>
      <c r="K55" s="646"/>
      <c r="L55" s="7">
        <v>0.4</v>
      </c>
      <c r="N55" s="100" t="s">
        <v>350</v>
      </c>
      <c r="O55" s="507" t="str">
        <f>H74</f>
        <v xml:space="preserve"> </v>
      </c>
      <c r="BI55" s="25"/>
      <c r="BJ55" s="47"/>
      <c r="BS55" s="77"/>
      <c r="BT55" s="78">
        <f>Table3[[#This Row],[R]]*10</f>
        <v>0</v>
      </c>
      <c r="BU55" s="20">
        <f>Table3[[#This Row],[R2]]*10</f>
        <v>0</v>
      </c>
      <c r="BV55" s="20">
        <f>Table3[[#This Row],[R3]]*10</f>
        <v>0</v>
      </c>
      <c r="BW55" s="20">
        <f>Table3[[#This Row],[R]]/10</f>
        <v>0</v>
      </c>
      <c r="BX55" s="20">
        <f>Table3[[#This Row],[R5]]/10</f>
        <v>0</v>
      </c>
      <c r="BY55" s="20">
        <f>Table3[[#This Row],[R6]]/10</f>
        <v>0</v>
      </c>
      <c r="BZ55" s="20">
        <f>Table3[[#This Row],[R7]]/10</f>
        <v>0</v>
      </c>
      <c r="CA55" s="20">
        <f>Table3[[#This Row],[R8]]/10</f>
        <v>0</v>
      </c>
      <c r="CB55" s="20">
        <f>Table3[[#This Row],[R9]]/10</f>
        <v>0</v>
      </c>
    </row>
    <row r="56" spans="2:80" ht="26.1" customHeight="1">
      <c r="B56" s="97"/>
      <c r="C56" s="97"/>
      <c r="D56" s="97"/>
      <c r="E56" s="24"/>
      <c r="F56" s="24"/>
      <c r="G56" s="24"/>
      <c r="H56" s="98"/>
      <c r="I56" s="98"/>
      <c r="J56" s="645" t="str">
        <f>IF(IF(K7="[Select Configuration]", "Differential", IF(K8="[Select Device]", "Differential", VLOOKUP(K8, Devices[], COLUMN(Devices[Output Type]), 0)))="Differential", "OPA Offset Drift", "OPA Offset Drift = 0")</f>
        <v>OPA Offset Drift</v>
      </c>
      <c r="K56" s="646"/>
      <c r="L56" s="8">
        <v>0.6</v>
      </c>
      <c r="N56" s="100" t="s">
        <v>528</v>
      </c>
      <c r="O56" s="508" t="str">
        <f>E78</f>
        <v xml:space="preserve"> </v>
      </c>
      <c r="BI56" s="25"/>
      <c r="BJ56" s="47"/>
      <c r="BS56" s="77"/>
      <c r="BT56" s="78">
        <f>Table3[[#This Row],[R]]*10</f>
        <v>0</v>
      </c>
      <c r="BU56" s="20">
        <f>Table3[[#This Row],[R2]]*10</f>
        <v>0</v>
      </c>
      <c r="BV56" s="20">
        <f>Table3[[#This Row],[R3]]*10</f>
        <v>0</v>
      </c>
      <c r="BW56" s="20">
        <f>Table3[[#This Row],[R]]/10</f>
        <v>0</v>
      </c>
      <c r="BX56" s="20">
        <f>Table3[[#This Row],[R5]]/10</f>
        <v>0</v>
      </c>
      <c r="BY56" s="20">
        <f>Table3[[#This Row],[R6]]/10</f>
        <v>0</v>
      </c>
      <c r="BZ56" s="20">
        <f>Table3[[#This Row],[R7]]/10</f>
        <v>0</v>
      </c>
      <c r="CA56" s="20">
        <f>Table3[[#This Row],[R8]]/10</f>
        <v>0</v>
      </c>
      <c r="CB56" s="20">
        <f>Table3[[#This Row],[R9]]/10</f>
        <v>0</v>
      </c>
    </row>
    <row r="57" spans="2:80" ht="26.1" customHeight="1">
      <c r="B57" s="97"/>
      <c r="C57" s="97"/>
      <c r="D57" s="97"/>
      <c r="E57" s="24"/>
      <c r="F57" s="24"/>
      <c r="G57" s="24"/>
      <c r="H57" s="98"/>
      <c r="I57" s="98"/>
      <c r="J57" s="645" t="str">
        <f>IF(IF(K7="[Select Configuration]", "Differential", IF(K8="[Select Device]", "Differential", VLOOKUP(K8, Devices[], COLUMN(Devices[Output Type]), 0)))="Differential", "OPA Rf/Rg Tolerance", "OPA Rf/Rg Tolerance = 0")</f>
        <v>OPA Rf/Rg Tolerance</v>
      </c>
      <c r="K57" s="646"/>
      <c r="L57" s="9">
        <v>0.1</v>
      </c>
      <c r="N57" s="100" t="s">
        <v>349</v>
      </c>
      <c r="O57" s="509" t="str">
        <f>F78</f>
        <v xml:space="preserve"> </v>
      </c>
      <c r="BI57" s="25"/>
      <c r="BJ57" s="47"/>
      <c r="BS57" s="77"/>
      <c r="BT57" s="78">
        <f>Table3[[#This Row],[R]]*10</f>
        <v>0</v>
      </c>
      <c r="BU57" s="20">
        <f>Table3[[#This Row],[R2]]*10</f>
        <v>0</v>
      </c>
      <c r="BV57" s="20">
        <f>Table3[[#This Row],[R3]]*10</f>
        <v>0</v>
      </c>
      <c r="BW57" s="20">
        <f>Table3[[#This Row],[R]]/10</f>
        <v>0</v>
      </c>
      <c r="BX57" s="20">
        <f>Table3[[#This Row],[R5]]/10</f>
        <v>0</v>
      </c>
      <c r="BY57" s="20">
        <f>Table3[[#This Row],[R6]]/10</f>
        <v>0</v>
      </c>
      <c r="BZ57" s="20">
        <f>Table3[[#This Row],[R7]]/10</f>
        <v>0</v>
      </c>
      <c r="CA57" s="20">
        <f>Table3[[#This Row],[R8]]/10</f>
        <v>0</v>
      </c>
      <c r="CB57" s="20">
        <f>Table3[[#This Row],[R9]]/10</f>
        <v>0</v>
      </c>
    </row>
    <row r="58" spans="2:80" ht="26.1" customHeight="1" thickBot="1">
      <c r="B58" s="97"/>
      <c r="C58" s="97"/>
      <c r="D58" s="97"/>
      <c r="E58" s="24"/>
      <c r="F58" s="24"/>
      <c r="G58" s="24"/>
      <c r="H58" s="98"/>
      <c r="I58" s="98"/>
      <c r="J58" s="645" t="str">
        <f>IF(IF(K7="[Select Configuration]", "Differential", IF(K8="[Select Device]", "Differential", VLOOKUP(K8, Devices[], COLUMN(Devices[Output Type]), 0)))="Differential", "OPA Rf/Rg Drift", "OPA Rf/Rg Drift = 0")</f>
        <v>OPA Rf/Rg Drift</v>
      </c>
      <c r="K58" s="646"/>
      <c r="L58" s="12">
        <v>50</v>
      </c>
      <c r="N58" s="101" t="s">
        <v>348</v>
      </c>
      <c r="O58" s="510" t="str">
        <f>H78</f>
        <v xml:space="preserve"> </v>
      </c>
      <c r="BI58" s="25"/>
      <c r="BJ58" s="47"/>
      <c r="BS58" s="77"/>
      <c r="BT58" s="78"/>
      <c r="BU58" s="20">
        <f>Table3[[#This Row],[R2]]*10</f>
        <v>0</v>
      </c>
      <c r="BV58" s="20">
        <f>Table3[[#This Row],[R3]]*10</f>
        <v>0</v>
      </c>
      <c r="BW58" s="20">
        <f>Table3[[#This Row],[R]]/10</f>
        <v>0</v>
      </c>
      <c r="BX58" s="20">
        <f>Table3[[#This Row],[R5]]/10</f>
        <v>0</v>
      </c>
      <c r="BY58" s="20">
        <f>Table3[[#This Row],[R6]]/10</f>
        <v>0</v>
      </c>
      <c r="BZ58" s="20">
        <f>Table3[[#This Row],[R7]]/10</f>
        <v>0</v>
      </c>
      <c r="CA58" s="20">
        <f>Table3[[#This Row],[R8]]/10</f>
        <v>0</v>
      </c>
      <c r="CB58" s="20">
        <f>Table3[[#This Row],[R9]]/10</f>
        <v>0</v>
      </c>
    </row>
    <row r="59" spans="2:80" ht="26.1" customHeight="1" thickBot="1">
      <c r="B59" s="97"/>
      <c r="C59" s="97"/>
      <c r="D59" s="97"/>
      <c r="E59" s="24"/>
      <c r="F59" s="24"/>
      <c r="G59" s="24"/>
      <c r="H59" s="98"/>
      <c r="I59" s="98"/>
      <c r="J59" s="439" t="str">
        <f>IF(IF(K7="[Select Configuration]", "Differential", IF(K8="[Select Device]", "Differential", VLOOKUP(K8, Devices[], COLUMN(Devices[Output Type]), 0)))="Differential", "Rf", "Rf = 1")</f>
        <v>Rf</v>
      </c>
      <c r="K59" s="440"/>
      <c r="L59" s="10">
        <v>4.0999999999999996</v>
      </c>
      <c r="BI59" s="25" t="s">
        <v>305</v>
      </c>
      <c r="BJ59" s="102" t="e">
        <f>K9*K19/(K19+BJ39)*1000</f>
        <v>#VALUE!</v>
      </c>
      <c r="BS59" s="62">
        <v>28.7</v>
      </c>
      <c r="BT59" s="18">
        <f>Table3[[#This Row],[R]]*10</f>
        <v>287</v>
      </c>
      <c r="BU59" s="19">
        <f>Table3[[#This Row],[R2]]*10</f>
        <v>2870</v>
      </c>
      <c r="BV59" s="19">
        <f>Table3[[#This Row],[R3]]*10</f>
        <v>28700</v>
      </c>
      <c r="BW59" s="19">
        <f>Table3[[#This Row],[R4]]*10</f>
        <v>287000</v>
      </c>
      <c r="BX59" s="20">
        <f>Table3[[#This Row],[R]]/10</f>
        <v>2.87</v>
      </c>
      <c r="BY59" s="20">
        <f>Table3[[#This Row],[R6]]/10</f>
        <v>0.28700000000000003</v>
      </c>
      <c r="BZ59" s="20">
        <f>Table3[[#This Row],[R7]]/10</f>
        <v>2.8700000000000003E-2</v>
      </c>
      <c r="CA59" s="20">
        <f>Table3[[#This Row],[R8]]/10</f>
        <v>2.8700000000000002E-3</v>
      </c>
      <c r="CB59" s="20">
        <f>Table3[[#This Row],[R9]]/10</f>
        <v>2.8700000000000004E-4</v>
      </c>
    </row>
    <row r="60" spans="2:80" ht="26.1" customHeight="1" thickBot="1">
      <c r="B60" s="103"/>
      <c r="J60" s="441" t="str">
        <f>IF(IF(K7="[Select Configuration]", "Differential", IF(K8="[Select Device]", "Differential", VLOOKUP(K8, Devices[], COLUMN(Devices[Output Type]), 0)))="Differential", "Rg", "Rg = 1")</f>
        <v>Rg</v>
      </c>
      <c r="K60" s="442"/>
      <c r="L60" s="104">
        <v>3.3</v>
      </c>
      <c r="BI60" s="25" t="s">
        <v>306</v>
      </c>
      <c r="BJ60" s="47" t="e">
        <f>K9*K19/(K19+BJ40)*1000</f>
        <v>#VALUE!</v>
      </c>
      <c r="BS60" s="62">
        <v>29.4</v>
      </c>
      <c r="BT60" s="18">
        <f>Table3[[#This Row],[R]]*10</f>
        <v>294</v>
      </c>
      <c r="BU60" s="19">
        <f>Table3[[#This Row],[R2]]*10</f>
        <v>2940</v>
      </c>
      <c r="BV60" s="19">
        <f>Table3[[#This Row],[R3]]*10</f>
        <v>29400</v>
      </c>
      <c r="BW60" s="19">
        <f>Table3[[#This Row],[R4]]*10</f>
        <v>294000</v>
      </c>
      <c r="BX60" s="20">
        <f>Table3[[#This Row],[R]]/10</f>
        <v>2.94</v>
      </c>
      <c r="BY60" s="20">
        <f>Table3[[#This Row],[R6]]/10</f>
        <v>0.29399999999999998</v>
      </c>
      <c r="BZ60" s="20">
        <f>Table3[[#This Row],[R7]]/10</f>
        <v>2.9399999999999999E-2</v>
      </c>
      <c r="CA60" s="20">
        <f>Table3[[#This Row],[R8]]/10</f>
        <v>2.9399999999999999E-3</v>
      </c>
      <c r="CB60" s="20">
        <f>Table3[[#This Row],[R9]]/10</f>
        <v>2.9399999999999999E-4</v>
      </c>
    </row>
    <row r="61" spans="2:80" ht="15" customHeight="1" thickBot="1">
      <c r="B61" s="103"/>
      <c r="F61" s="105"/>
      <c r="N61" s="106"/>
      <c r="O61" s="107"/>
      <c r="BI61" s="25" t="s">
        <v>307</v>
      </c>
      <c r="BJ61" s="47" t="e">
        <f>K9*BJ42/(BJ42+BJ36)*1000</f>
        <v>#VALUE!</v>
      </c>
      <c r="BS61" s="62">
        <v>30.1</v>
      </c>
      <c r="BT61" s="18">
        <f>Table3[[#This Row],[R]]*10</f>
        <v>301</v>
      </c>
      <c r="BU61" s="19">
        <f>Table3[[#This Row],[R2]]*10</f>
        <v>3010</v>
      </c>
      <c r="BV61" s="19">
        <f>Table3[[#This Row],[R3]]*10</f>
        <v>30100</v>
      </c>
      <c r="BW61" s="19">
        <f>Table3[[#This Row],[R4]]*10</f>
        <v>301000</v>
      </c>
      <c r="BX61" s="20">
        <f>Table3[[#This Row],[R]]/10</f>
        <v>3.0100000000000002</v>
      </c>
      <c r="BY61" s="20">
        <f>Table3[[#This Row],[R6]]/10</f>
        <v>0.30100000000000005</v>
      </c>
      <c r="BZ61" s="20">
        <f>Table3[[#This Row],[R7]]/10</f>
        <v>3.0100000000000005E-2</v>
      </c>
      <c r="CA61" s="20">
        <f>Table3[[#This Row],[R8]]/10</f>
        <v>3.0100000000000005E-3</v>
      </c>
      <c r="CB61" s="20">
        <f>Table3[[#This Row],[R9]]/10</f>
        <v>3.0100000000000005E-4</v>
      </c>
    </row>
    <row r="62" spans="2:80" ht="17.649999999999999" thickBot="1">
      <c r="B62" s="792" t="str">
        <f>"Resistor Divider + Isolated Amplifier + Differential to Single-ended Conversion Error Calculation Across Temperature ("&amp;K15&amp;"°C to + "&amp;K16&amp;"°C)"</f>
        <v>Resistor Divider + Isolated Amplifier + Differential to Single-ended Conversion Error Calculation Across Temperature (-40°C to + 125°C)</v>
      </c>
      <c r="C62" s="793"/>
      <c r="D62" s="793"/>
      <c r="E62" s="793"/>
      <c r="F62" s="793"/>
      <c r="G62" s="793"/>
      <c r="H62" s="793"/>
      <c r="I62" s="793"/>
      <c r="J62" s="793"/>
      <c r="K62" s="793"/>
      <c r="L62" s="794"/>
      <c r="N62" s="108"/>
      <c r="O62" s="108"/>
      <c r="BI62" s="25" t="s">
        <v>308</v>
      </c>
      <c r="BJ62" s="47" t="e">
        <f>K9*BJ45/(BJ42+BJ36)*1000</f>
        <v>#VALUE!</v>
      </c>
      <c r="BS62" s="69">
        <v>30.9</v>
      </c>
      <c r="BT62" s="18">
        <f>Table3[[#This Row],[R]]*10</f>
        <v>309</v>
      </c>
      <c r="BU62" s="19">
        <f>Table3[[#This Row],[R2]]*10</f>
        <v>3090</v>
      </c>
      <c r="BV62" s="19">
        <f>Table3[[#This Row],[R3]]*10</f>
        <v>30900</v>
      </c>
      <c r="BW62" s="19">
        <f>Table3[[#This Row],[R4]]*10</f>
        <v>309000</v>
      </c>
      <c r="BX62" s="20">
        <f>Table3[[#This Row],[R]]/10</f>
        <v>3.09</v>
      </c>
      <c r="BY62" s="20">
        <f>Table3[[#This Row],[R6]]/10</f>
        <v>0.309</v>
      </c>
      <c r="BZ62" s="20">
        <f>Table3[[#This Row],[R7]]/10</f>
        <v>3.09E-2</v>
      </c>
      <c r="CA62" s="20">
        <f>Table3[[#This Row],[R8]]/10</f>
        <v>3.0899999999999999E-3</v>
      </c>
      <c r="CB62" s="20">
        <f>Table3[[#This Row],[R9]]/10</f>
        <v>3.0899999999999998E-4</v>
      </c>
    </row>
    <row r="63" spans="2:80" ht="17.649999999999999" thickBot="1">
      <c r="B63" s="795"/>
      <c r="C63" s="796"/>
      <c r="D63" s="796"/>
      <c r="E63" s="796"/>
      <c r="F63" s="796"/>
      <c r="G63" s="796"/>
      <c r="H63" s="796"/>
      <c r="I63" s="796"/>
      <c r="J63" s="796"/>
      <c r="K63" s="796"/>
      <c r="L63" s="797"/>
      <c r="N63" s="106"/>
      <c r="O63" s="109"/>
      <c r="BI63" s="25" t="s">
        <v>309</v>
      </c>
      <c r="BJ63" s="47" t="e">
        <f>K9*BJ47/(BJ47+BJ36)*1000</f>
        <v>#VALUE!</v>
      </c>
      <c r="BS63" s="55">
        <v>31.6</v>
      </c>
      <c r="BT63" s="18">
        <f>Table3[[#This Row],[R]]*10</f>
        <v>316</v>
      </c>
      <c r="BU63" s="19">
        <f>Table3[[#This Row],[R2]]*10</f>
        <v>3160</v>
      </c>
      <c r="BV63" s="19">
        <f>Table3[[#This Row],[R3]]*10</f>
        <v>31600</v>
      </c>
      <c r="BW63" s="19">
        <f>Table3[[#This Row],[R4]]*10</f>
        <v>316000</v>
      </c>
      <c r="BX63" s="20">
        <f>Table3[[#This Row],[R]]/10</f>
        <v>3.16</v>
      </c>
      <c r="BY63" s="20">
        <f>Table3[[#This Row],[R6]]/10</f>
        <v>0.316</v>
      </c>
      <c r="BZ63" s="20">
        <f>Table3[[#This Row],[R7]]/10</f>
        <v>3.1600000000000003E-2</v>
      </c>
      <c r="CA63" s="20">
        <f>Table3[[#This Row],[R8]]/10</f>
        <v>3.1600000000000005E-3</v>
      </c>
      <c r="CB63" s="20">
        <f>Table3[[#This Row],[R9]]/10</f>
        <v>3.1600000000000004E-4</v>
      </c>
    </row>
    <row r="64" spans="2:80" ht="17.649999999999999" thickBot="1">
      <c r="B64" s="773">
        <v>1</v>
      </c>
      <c r="C64" s="671"/>
      <c r="D64" s="773">
        <v>2</v>
      </c>
      <c r="E64" s="774"/>
      <c r="F64" s="671">
        <v>3</v>
      </c>
      <c r="G64" s="671"/>
      <c r="H64" s="671"/>
      <c r="I64" s="774"/>
      <c r="J64" s="671" t="s">
        <v>271</v>
      </c>
      <c r="K64" s="671"/>
      <c r="L64" s="774"/>
      <c r="N64" s="108"/>
      <c r="O64" s="108"/>
      <c r="BI64" s="65" t="s">
        <v>310</v>
      </c>
      <c r="BJ64" s="110" t="e">
        <f>K9*BJ48/(BJ48+BJ36)*1000</f>
        <v>#VALUE!</v>
      </c>
      <c r="BS64" s="62">
        <v>32.4</v>
      </c>
      <c r="BT64" s="18">
        <f>Table3[[#This Row],[R]]*10</f>
        <v>324</v>
      </c>
      <c r="BU64" s="19">
        <f>Table3[[#This Row],[R2]]*10</f>
        <v>3240</v>
      </c>
      <c r="BV64" s="19">
        <f>Table3[[#This Row],[R3]]*10</f>
        <v>32400</v>
      </c>
      <c r="BW64" s="19">
        <f>Table3[[#This Row],[R4]]*10</f>
        <v>324000</v>
      </c>
      <c r="BX64" s="20">
        <f>Table3[[#This Row],[R]]/10</f>
        <v>3.2399999999999998</v>
      </c>
      <c r="BY64" s="20">
        <f>Table3[[#This Row],[R6]]/10</f>
        <v>0.32399999999999995</v>
      </c>
      <c r="BZ64" s="20">
        <f>Table3[[#This Row],[R7]]/10</f>
        <v>3.2399999999999998E-2</v>
      </c>
      <c r="CA64" s="20">
        <f>Table3[[#This Row],[R8]]/10</f>
        <v>3.2399999999999998E-3</v>
      </c>
      <c r="CB64" s="20">
        <f>Table3[[#This Row],[R9]]/10</f>
        <v>3.2399999999999996E-4</v>
      </c>
    </row>
    <row r="65" spans="2:80" ht="33" customHeight="1" thickBot="1">
      <c r="B65" s="654" t="s">
        <v>352</v>
      </c>
      <c r="C65" s="655"/>
      <c r="D65" s="654" t="s">
        <v>351</v>
      </c>
      <c r="E65" s="656"/>
      <c r="F65" s="798" t="s">
        <v>344</v>
      </c>
      <c r="G65" s="798"/>
      <c r="H65" s="798"/>
      <c r="I65" s="798"/>
      <c r="J65" s="654" t="s">
        <v>353</v>
      </c>
      <c r="K65" s="655"/>
      <c r="L65" s="656"/>
      <c r="N65" s="106"/>
      <c r="O65" s="111"/>
      <c r="BI65" s="737" t="s">
        <v>311</v>
      </c>
      <c r="BJ65" s="738"/>
      <c r="BS65" s="62">
        <v>33.200000000000003</v>
      </c>
      <c r="BT65" s="18">
        <f>Table3[[#This Row],[R]]*10</f>
        <v>332</v>
      </c>
      <c r="BU65" s="19">
        <f>Table3[[#This Row],[R2]]*10</f>
        <v>3320</v>
      </c>
      <c r="BV65" s="19">
        <f>Table3[[#This Row],[R3]]*10</f>
        <v>33200</v>
      </c>
      <c r="BW65" s="19">
        <f>Table3[[#This Row],[R4]]*10</f>
        <v>332000</v>
      </c>
      <c r="BX65" s="20">
        <f>Table3[[#This Row],[R]]/10</f>
        <v>3.3200000000000003</v>
      </c>
      <c r="BY65" s="20">
        <f>Table3[[#This Row],[R6]]/10</f>
        <v>0.33200000000000002</v>
      </c>
      <c r="BZ65" s="20">
        <f>Table3[[#This Row],[R7]]/10</f>
        <v>3.32E-2</v>
      </c>
      <c r="CA65" s="20">
        <f>Table3[[#This Row],[R8]]/10</f>
        <v>3.32E-3</v>
      </c>
      <c r="CB65" s="20">
        <f>Table3[[#This Row],[R9]]/10</f>
        <v>3.3199999999999999E-4</v>
      </c>
    </row>
    <row r="66" spans="2:80" ht="17.649999999999999" thickBot="1">
      <c r="B66" s="112" t="s">
        <v>184</v>
      </c>
      <c r="C66" s="113" t="str">
        <f>IF(OR(K8="[Select Device]",K7="[Select Configuration]")," ",(K34/$K$32)*1000)</f>
        <v xml:space="preserve"> </v>
      </c>
      <c r="D66" s="114" t="s">
        <v>287</v>
      </c>
      <c r="E66" s="11">
        <v>0</v>
      </c>
      <c r="F66" s="652" t="s">
        <v>272</v>
      </c>
      <c r="G66" s="653"/>
      <c r="H66" s="786" t="str">
        <f>IF(OR(K8="[Select Device]", K7="[Select Configuration]"), " ", $L$59/$L$60)</f>
        <v xml:space="preserve"> </v>
      </c>
      <c r="I66" s="787"/>
      <c r="J66" s="652" t="s">
        <v>184</v>
      </c>
      <c r="K66" s="653"/>
      <c r="L66" s="115" t="str">
        <f>IF(OR(K8="[Select Device]",K7="[Select Configuration]")," ",SQRT(SUMSQ($E$70,$C$66,$H$69)))</f>
        <v xml:space="preserve"> </v>
      </c>
      <c r="N66" s="14" t="str">
        <f>IF(OR(K8="[Select Device]",K7="[Select Configuration]")," ",IF(K7="Integrated Resistor Divider","Please set Resistor Divider and Sense Resistor Tolerance to 0%. This error is accounted for in Gain Error", " "))</f>
        <v xml:space="preserve"> </v>
      </c>
      <c r="BI66" s="44" t="s">
        <v>94</v>
      </c>
      <c r="BJ66" s="47" t="e">
        <f>K9*K19/(K19+BJ36)*1000</f>
        <v>#VALUE!</v>
      </c>
      <c r="BS66" s="62">
        <v>34</v>
      </c>
      <c r="BT66" s="18">
        <f>Table3[[#This Row],[R]]*10</f>
        <v>340</v>
      </c>
      <c r="BU66" s="19">
        <f>Table3[[#This Row],[R2]]*10</f>
        <v>3400</v>
      </c>
      <c r="BV66" s="19">
        <f>Table3[[#This Row],[R3]]*10</f>
        <v>34000</v>
      </c>
      <c r="BW66" s="19">
        <f>Table3[[#This Row],[R4]]*10</f>
        <v>340000</v>
      </c>
      <c r="BX66" s="20">
        <f>Table3[[#This Row],[R]]/10</f>
        <v>3.4</v>
      </c>
      <c r="BY66" s="20">
        <f>Table3[[#This Row],[R6]]/10</f>
        <v>0.33999999999999997</v>
      </c>
      <c r="BZ66" s="20">
        <f>Table3[[#This Row],[R7]]/10</f>
        <v>3.3999999999999996E-2</v>
      </c>
      <c r="CA66" s="20">
        <f>Table3[[#This Row],[R8]]/10</f>
        <v>3.3999999999999994E-3</v>
      </c>
      <c r="CB66" s="20">
        <f>Table3[[#This Row],[R9]]/10</f>
        <v>3.3999999999999992E-4</v>
      </c>
    </row>
    <row r="67" spans="2:80" ht="17.649999999999999" thickBot="1">
      <c r="B67" s="116" t="s">
        <v>185</v>
      </c>
      <c r="C67" s="117" t="str">
        <f>IF(OR(K8="[Select Device]",K7="[Select Configuration]")," ",(K35/$K$32)*1000)</f>
        <v xml:space="preserve"> </v>
      </c>
      <c r="D67" s="118" t="s">
        <v>288</v>
      </c>
      <c r="E67" s="12">
        <v>0</v>
      </c>
      <c r="F67" s="638" t="s">
        <v>274</v>
      </c>
      <c r="G67" s="639"/>
      <c r="H67" s="788" t="str">
        <f>IF(OR(K8="[Select Device]",K7="[Select Configuration]")," ",G32*VLOOKUP(K8,Devices[],COLUMN(Devices[Gain]),0))</f>
        <v xml:space="preserve"> </v>
      </c>
      <c r="I67" s="789"/>
      <c r="J67" s="638" t="s">
        <v>185</v>
      </c>
      <c r="K67" s="639"/>
      <c r="L67" s="119" t="str">
        <f>IF(OR(K8="[Select Device]",K7="[Select Configuration]")," ",SQRT(SUMSQ($E$71,$C$67,$H$70)))</f>
        <v xml:space="preserve"> </v>
      </c>
      <c r="N67" s="14" t="str">
        <f>IF(OR(K8="[Select Device]",K7="[Select Configuration]")," ",IF(K7="Integrated Resistor Divider","Please set Resistor Divider and Sense Resistor Temperature Drift to 0 ppm/C. HV Resistors and Sense Resistors drift equally and cancel out.", " "))</f>
        <v xml:space="preserve"> </v>
      </c>
      <c r="BI67" s="25" t="s">
        <v>315</v>
      </c>
      <c r="BJ67" s="120" t="e">
        <f>ABS((BJ53-BJ51)/BJ51)</f>
        <v>#VALUE!</v>
      </c>
      <c r="BS67" s="62">
        <v>34.799999999999997</v>
      </c>
      <c r="BT67" s="18">
        <f>Table3[[#This Row],[R]]*10</f>
        <v>348</v>
      </c>
      <c r="BU67" s="19">
        <f>Table3[[#This Row],[R2]]*10</f>
        <v>3480</v>
      </c>
      <c r="BV67" s="19">
        <f>Table3[[#This Row],[R3]]*10</f>
        <v>34800</v>
      </c>
      <c r="BW67" s="19">
        <f>Table3[[#This Row],[R4]]*10</f>
        <v>348000</v>
      </c>
      <c r="BX67" s="20">
        <f>Table3[[#This Row],[R]]/10</f>
        <v>3.4799999999999995</v>
      </c>
      <c r="BY67" s="20">
        <f>Table3[[#This Row],[R6]]/10</f>
        <v>0.34799999999999998</v>
      </c>
      <c r="BZ67" s="20">
        <f>Table3[[#This Row],[R7]]/10</f>
        <v>3.4799999999999998E-2</v>
      </c>
      <c r="CA67" s="20">
        <f>Table3[[#This Row],[R8]]/10</f>
        <v>3.4799999999999996E-3</v>
      </c>
      <c r="CB67" s="20">
        <f>Table3[[#This Row],[R9]]/10</f>
        <v>3.4799999999999995E-4</v>
      </c>
    </row>
    <row r="68" spans="2:80" ht="17.649999999999999" thickBot="1">
      <c r="B68" s="116" t="s">
        <v>186</v>
      </c>
      <c r="C68" s="117" t="str">
        <f>IF(OR(K8="[Select Device]",K7="[Select Configuration]")," ",(H66*K36/$K$32)*1000)</f>
        <v xml:space="preserve"> </v>
      </c>
      <c r="D68" s="118" t="s">
        <v>293</v>
      </c>
      <c r="E68" s="9">
        <v>0</v>
      </c>
      <c r="F68" s="641" t="s">
        <v>277</v>
      </c>
      <c r="G68" s="642"/>
      <c r="H68" s="790" t="str">
        <f>IF(OR(K8="[Select Device]",K7="[Select Configuration]")," ",H67*H66)</f>
        <v xml:space="preserve"> </v>
      </c>
      <c r="I68" s="791"/>
      <c r="J68" s="638" t="s">
        <v>186</v>
      </c>
      <c r="K68" s="639"/>
      <c r="L68" s="119" t="str">
        <f>IF(OR(K8="[Select Device]",K7="[Select Configuration]")," ",SQRT(SUMSQ($C$68,$H$71)))</f>
        <v xml:space="preserve"> </v>
      </c>
      <c r="BI68" s="25" t="s">
        <v>316</v>
      </c>
      <c r="BJ68" s="121" t="e">
        <f>ABS((BJ54-BJ51)/BJ51)</f>
        <v>#VALUE!</v>
      </c>
      <c r="BS68" s="62">
        <v>35.700000000000003</v>
      </c>
      <c r="BT68" s="18">
        <f>Table3[[#This Row],[R]]*10</f>
        <v>357</v>
      </c>
      <c r="BU68" s="19">
        <f>Table3[[#This Row],[R2]]*10</f>
        <v>3570</v>
      </c>
      <c r="BV68" s="19">
        <f>Table3[[#This Row],[R3]]*10</f>
        <v>35700</v>
      </c>
      <c r="BW68" s="19">
        <f>Table3[[#This Row],[R4]]*10</f>
        <v>357000</v>
      </c>
      <c r="BX68" s="20">
        <f>Table3[[#This Row],[R]]/10</f>
        <v>3.5700000000000003</v>
      </c>
      <c r="BY68" s="20">
        <f>Table3[[#This Row],[R6]]/10</f>
        <v>0.35700000000000004</v>
      </c>
      <c r="BZ68" s="20">
        <f>Table3[[#This Row],[R7]]/10</f>
        <v>3.5700000000000003E-2</v>
      </c>
      <c r="CA68" s="20">
        <f>Table3[[#This Row],[R8]]/10</f>
        <v>3.5700000000000003E-3</v>
      </c>
      <c r="CB68" s="20">
        <f>Table3[[#This Row],[R9]]/10</f>
        <v>3.57E-4</v>
      </c>
    </row>
    <row r="69" spans="2:80" ht="17.649999999999999" thickBot="1">
      <c r="B69" s="116" t="s">
        <v>187</v>
      </c>
      <c r="C69" s="117" t="str">
        <f>IF(OR(K8="[Select Device]",K7="[Select Configuration]")," ",(H66*K37/$K$32)*1000)</f>
        <v xml:space="preserve"> </v>
      </c>
      <c r="D69" s="122" t="s">
        <v>294</v>
      </c>
      <c r="E69" s="13">
        <v>0</v>
      </c>
      <c r="F69" s="666" t="s">
        <v>184</v>
      </c>
      <c r="G69" s="639"/>
      <c r="H69" s="660" t="str">
        <f>IF(OR(K8="[Select Device]",K7="[Select Configuration]")," ",L57*2*H68/100/$H$68*1000000)</f>
        <v xml:space="preserve"> </v>
      </c>
      <c r="I69" s="660"/>
      <c r="J69" s="638" t="s">
        <v>187</v>
      </c>
      <c r="K69" s="639"/>
      <c r="L69" s="119" t="str">
        <f>IF(OR(K8="[Select Device]",K7="[Select Configuration]")," ",SQRT(SUMSQ($C$69,$H$72)))</f>
        <v xml:space="preserve"> </v>
      </c>
      <c r="BI69" s="25" t="s">
        <v>317</v>
      </c>
      <c r="BJ69" s="123" t="e">
        <f>ABS((BJ59-BJ51)/BJ51)</f>
        <v>#VALUE!</v>
      </c>
      <c r="BS69" s="62">
        <v>36.5</v>
      </c>
      <c r="BT69" s="18">
        <f>Table3[[#This Row],[R]]*10</f>
        <v>365</v>
      </c>
      <c r="BU69" s="19">
        <f>Table3[[#This Row],[R2]]*10</f>
        <v>3650</v>
      </c>
      <c r="BV69" s="19">
        <f>Table3[[#This Row],[R3]]*10</f>
        <v>36500</v>
      </c>
      <c r="BW69" s="19">
        <f>Table3[[#This Row],[R4]]*10</f>
        <v>365000</v>
      </c>
      <c r="BX69" s="20">
        <f>Table3[[#This Row],[R]]/10</f>
        <v>3.65</v>
      </c>
      <c r="BY69" s="20">
        <f>Table3[[#This Row],[R6]]/10</f>
        <v>0.36499999999999999</v>
      </c>
      <c r="BZ69" s="20">
        <f>Table3[[#This Row],[R7]]/10</f>
        <v>3.6499999999999998E-2</v>
      </c>
      <c r="CA69" s="20">
        <f>Table3[[#This Row],[R8]]/10</f>
        <v>3.6499999999999996E-3</v>
      </c>
      <c r="CB69" s="20">
        <f>Table3[[#This Row],[R9]]/10</f>
        <v>3.6499999999999998E-4</v>
      </c>
    </row>
    <row r="70" spans="2:80" ht="17.649999999999999" thickBot="1">
      <c r="B70" s="116" t="s">
        <v>1</v>
      </c>
      <c r="C70" s="117" t="str">
        <f>IF(OR(K8="[Select Device]",K7="[Select Configuration]")," ",(K38/$K$32)*1000)</f>
        <v xml:space="preserve"> </v>
      </c>
      <c r="D70" s="118" t="s">
        <v>184</v>
      </c>
      <c r="E70" s="124" t="str">
        <f>IF(OR(K8="[Select Device]",K7="[Select Configuration]")," ",BJ80*1000000)</f>
        <v xml:space="preserve"> </v>
      </c>
      <c r="F70" s="666" t="s">
        <v>185</v>
      </c>
      <c r="G70" s="639"/>
      <c r="H70" s="660" t="str">
        <f>IF(OR(K8="[Select Device]",K7="[Select Configuration]")," ",L54*Temp_Range/1000/$H$68*1000000)</f>
        <v xml:space="preserve"> </v>
      </c>
      <c r="I70" s="660"/>
      <c r="J70" s="638" t="s">
        <v>1</v>
      </c>
      <c r="K70" s="639"/>
      <c r="L70" s="119" t="str">
        <f>IF(OR(K8="[Select Device]",K7="[Select Configuration]")," ",SQRT(SUMSQ($C$70,$J$88)))</f>
        <v xml:space="preserve"> </v>
      </c>
      <c r="BI70" s="25" t="s">
        <v>318</v>
      </c>
      <c r="BJ70" s="121" t="e">
        <f>ABS((BJ60-BJ51)/BJ51)</f>
        <v>#VALUE!</v>
      </c>
      <c r="BS70" s="69">
        <v>37.4</v>
      </c>
      <c r="BT70" s="18">
        <f>Table3[[#This Row],[R]]*10</f>
        <v>374</v>
      </c>
      <c r="BU70" s="19">
        <f>Table3[[#This Row],[R2]]*10</f>
        <v>3740</v>
      </c>
      <c r="BV70" s="19">
        <f>Table3[[#This Row],[R3]]*10</f>
        <v>37400</v>
      </c>
      <c r="BW70" s="19">
        <f>Table3[[#This Row],[R4]]*10</f>
        <v>374000</v>
      </c>
      <c r="BX70" s="20">
        <f>Table3[[#This Row],[R]]/10</f>
        <v>3.7399999999999998</v>
      </c>
      <c r="BY70" s="20">
        <f>Table3[[#This Row],[R6]]/10</f>
        <v>0.374</v>
      </c>
      <c r="BZ70" s="20">
        <f>Table3[[#This Row],[R7]]/10</f>
        <v>3.7400000000000003E-2</v>
      </c>
      <c r="CA70" s="20">
        <f>Table3[[#This Row],[R8]]/10</f>
        <v>3.7400000000000003E-3</v>
      </c>
      <c r="CB70" s="20">
        <f>Table3[[#This Row],[R9]]/10</f>
        <v>3.7400000000000004E-4</v>
      </c>
    </row>
    <row r="71" spans="2:80" ht="17.649999999999999" thickBot="1">
      <c r="B71" s="116" t="s">
        <v>2</v>
      </c>
      <c r="C71" s="117" t="str">
        <f>IF(OR(K8="[Select Device]",K7="[Select Configuration]")," ",(K39/$K$32)*1000)</f>
        <v xml:space="preserve"> </v>
      </c>
      <c r="D71" s="122" t="s">
        <v>185</v>
      </c>
      <c r="E71" s="125" t="str">
        <f>IF(OR(K8="[Select Device]",K7="[Select Configuration]")," ",(BJ81-BJ80)*1000000)</f>
        <v xml:space="preserve"> </v>
      </c>
      <c r="F71" s="666" t="s">
        <v>186</v>
      </c>
      <c r="G71" s="639"/>
      <c r="H71" s="660" t="str">
        <f>IF(OR(K8="[Select Device]",K7="[Select Configuration]")," ",(L55+L53)*$H$66/$H$68*1000000)</f>
        <v xml:space="preserve"> </v>
      </c>
      <c r="I71" s="660"/>
      <c r="J71" s="638" t="s">
        <v>2</v>
      </c>
      <c r="K71" s="639"/>
      <c r="L71" s="119" t="str">
        <f>IF(OR(K8="[Select Device]",K7="[Select Configuration]")," ",SQRT(SUMSQ($C$71,$J$89)))</f>
        <v xml:space="preserve"> </v>
      </c>
      <c r="BI71" s="25" t="s">
        <v>319</v>
      </c>
      <c r="BJ71" s="121" t="e">
        <f>ABS((BJ61-BJ51)/BJ51)</f>
        <v>#VALUE!</v>
      </c>
      <c r="BS71" s="55">
        <v>38.299999999999997</v>
      </c>
      <c r="BT71" s="18">
        <f>Table3[[#This Row],[R]]*10</f>
        <v>383</v>
      </c>
      <c r="BU71" s="19">
        <f>Table3[[#This Row],[R2]]*10</f>
        <v>3830</v>
      </c>
      <c r="BV71" s="19">
        <f>Table3[[#This Row],[R3]]*10</f>
        <v>38300</v>
      </c>
      <c r="BW71" s="19">
        <f>Table3[[#This Row],[R4]]*10</f>
        <v>383000</v>
      </c>
      <c r="BX71" s="20">
        <f>Table3[[#This Row],[R]]/10</f>
        <v>3.8299999999999996</v>
      </c>
      <c r="BY71" s="20">
        <f>Table3[[#This Row],[R6]]/10</f>
        <v>0.38299999999999995</v>
      </c>
      <c r="BZ71" s="20">
        <f>Table3[[#This Row],[R7]]/10</f>
        <v>3.8299999999999994E-2</v>
      </c>
      <c r="CA71" s="20">
        <f>Table3[[#This Row],[R8]]/10</f>
        <v>3.8299999999999992E-3</v>
      </c>
      <c r="CB71" s="20">
        <f>Table3[[#This Row],[R9]]/10</f>
        <v>3.8299999999999993E-4</v>
      </c>
    </row>
    <row r="72" spans="2:80" ht="17.649999999999999" thickBot="1">
      <c r="B72" s="126" t="s">
        <v>325</v>
      </c>
      <c r="C72" s="127" t="str">
        <f>IF(OR(K8="[Select Device]",K7="[Select Configuration]")," ",(H66*K40/$K$32)*1000+(K41/$K$32)*1000+(H66*K42/$K$32)*1000+(H66*K43/$K$32)*1000)</f>
        <v xml:space="preserve"> </v>
      </c>
      <c r="D72" s="128"/>
      <c r="E72" s="129"/>
      <c r="F72" s="667" t="s">
        <v>187</v>
      </c>
      <c r="G72" s="665"/>
      <c r="H72" s="696" t="str">
        <f>IF(OR(K8="[Select Device]",K7="[Select Configuration]")," ",(L56*Temp_Range/1000*$H$66/$H$68*1000000)+L54*1000)</f>
        <v xml:space="preserve"> </v>
      </c>
      <c r="I72" s="696"/>
      <c r="J72" s="664" t="s">
        <v>188</v>
      </c>
      <c r="K72" s="665"/>
      <c r="L72" s="130" t="str">
        <f>IF(OR(K8="[Select Device]",K7="[Select Configuration]")," ",SQRT(SUMSQ($C$72,$J$90)))</f>
        <v xml:space="preserve"> </v>
      </c>
      <c r="BI72" s="25" t="s">
        <v>320</v>
      </c>
      <c r="BJ72" s="121" t="e">
        <f>ABS((BJ62-BJ51)/BJ51)</f>
        <v>#VALUE!</v>
      </c>
      <c r="BS72" s="62">
        <v>39.200000000000003</v>
      </c>
      <c r="BT72" s="18">
        <f>Table3[[#This Row],[R]]*10</f>
        <v>392</v>
      </c>
      <c r="BU72" s="19">
        <f>Table3[[#This Row],[R2]]*10</f>
        <v>3920</v>
      </c>
      <c r="BV72" s="19">
        <f>Table3[[#This Row],[R3]]*10</f>
        <v>39200</v>
      </c>
      <c r="BW72" s="19">
        <f>Table3[[#This Row],[R4]]*10</f>
        <v>392000</v>
      </c>
      <c r="BX72" s="20">
        <f>Table3[[#This Row],[R]]/10</f>
        <v>3.9200000000000004</v>
      </c>
      <c r="BY72" s="20">
        <f>Table3[[#This Row],[R6]]/10</f>
        <v>0.39200000000000002</v>
      </c>
      <c r="BZ72" s="20">
        <f>Table3[[#This Row],[R7]]/10</f>
        <v>3.9199999999999999E-2</v>
      </c>
      <c r="CA72" s="20">
        <f>Table3[[#This Row],[R8]]/10</f>
        <v>3.9199999999999999E-3</v>
      </c>
      <c r="CB72" s="20">
        <f>Table3[[#This Row],[R9]]/10</f>
        <v>3.9199999999999999E-4</v>
      </c>
    </row>
    <row r="73" spans="2:80" ht="17.649999999999999" thickBot="1">
      <c r="B73" s="91" t="s">
        <v>532</v>
      </c>
      <c r="C73" s="131"/>
      <c r="D73" s="518"/>
      <c r="E73" s="472" t="s">
        <v>354</v>
      </c>
      <c r="F73" s="670" t="s">
        <v>280</v>
      </c>
      <c r="G73" s="671"/>
      <c r="H73" s="670" t="s">
        <v>355</v>
      </c>
      <c r="I73" s="671"/>
      <c r="J73" s="670" t="s">
        <v>356</v>
      </c>
      <c r="K73" s="672"/>
      <c r="L73" s="132" t="s">
        <v>289</v>
      </c>
      <c r="BI73" s="25" t="s">
        <v>321</v>
      </c>
      <c r="BJ73" s="121" t="e">
        <f>ABS((BJ63-BJ51)/BJ51)</f>
        <v>#VALUE!</v>
      </c>
      <c r="BS73" s="62">
        <v>40.200000000000003</v>
      </c>
      <c r="BT73" s="18">
        <f>Table3[[#This Row],[R]]*10</f>
        <v>402</v>
      </c>
      <c r="BU73" s="19">
        <f>Table3[[#This Row],[R2]]*10</f>
        <v>4020</v>
      </c>
      <c r="BV73" s="19">
        <f>Table3[[#This Row],[R3]]*10</f>
        <v>40200</v>
      </c>
      <c r="BW73" s="19">
        <f>Table3[[#This Row],[R4]]*10</f>
        <v>402000</v>
      </c>
      <c r="BX73" s="20">
        <f>Table3[[#This Row],[R]]/10</f>
        <v>4.0200000000000005</v>
      </c>
      <c r="BY73" s="20">
        <f>Table3[[#This Row],[R6]]/10</f>
        <v>0.40200000000000002</v>
      </c>
      <c r="BZ73" s="20">
        <f>Table3[[#This Row],[R7]]/10</f>
        <v>4.02E-2</v>
      </c>
      <c r="CA73" s="20">
        <f>Table3[[#This Row],[R8]]/10</f>
        <v>4.0200000000000001E-3</v>
      </c>
      <c r="CB73" s="20">
        <f>Table3[[#This Row],[R9]]/10</f>
        <v>4.0200000000000001E-4</v>
      </c>
    </row>
    <row r="74" spans="2:80" ht="17.649999999999999" thickBot="1">
      <c r="B74" s="136" t="s">
        <v>301</v>
      </c>
      <c r="C74" s="137"/>
      <c r="D74" s="137"/>
      <c r="E74" s="512" t="str">
        <f>IF(OR(K8="[Select Device]",K7="[Select Configuration]")," ",E78/3)</f>
        <v xml:space="preserve"> </v>
      </c>
      <c r="F74" s="633" t="str">
        <f>IF(OR(K8="[Select Device]",K7="[Select Configuration]")," ",E74/1000000)</f>
        <v xml:space="preserve"> </v>
      </c>
      <c r="G74" s="633"/>
      <c r="H74" s="662" t="str">
        <f>IF(OR(K8="[Select Device]",K7="[Select Configuration]")," ",F74*$G$32)</f>
        <v xml:space="preserve"> </v>
      </c>
      <c r="I74" s="663"/>
      <c r="J74" s="661" t="str">
        <f>IF(OR(K8="[Select Device]",K7="[Select Configuration]")," ",F74*H$68)</f>
        <v xml:space="preserve"> </v>
      </c>
      <c r="K74" s="661"/>
      <c r="L74" s="513" t="str">
        <f>IF(OR(K8="[Select Device]",K7="[Select Configuration]")," ",(H74/$G$32)*$K$9)</f>
        <v xml:space="preserve"> </v>
      </c>
      <c r="BI74" s="65" t="s">
        <v>322</v>
      </c>
      <c r="BJ74" s="135" t="e">
        <f>ABS((BJ64-BJ51)/BJ51)</f>
        <v>#VALUE!</v>
      </c>
      <c r="BS74" s="62">
        <v>41.2</v>
      </c>
      <c r="BT74" s="18">
        <f>Table3[[#This Row],[R]]*10</f>
        <v>412</v>
      </c>
      <c r="BU74" s="19">
        <f>Table3[[#This Row],[R2]]*10</f>
        <v>4120</v>
      </c>
      <c r="BV74" s="19">
        <f>Table3[[#This Row],[R3]]*10</f>
        <v>41200</v>
      </c>
      <c r="BW74" s="19">
        <f>Table3[[#This Row],[R4]]*10</f>
        <v>412000</v>
      </c>
      <c r="BX74" s="20">
        <f>Table3[[#This Row],[R]]/10</f>
        <v>4.12</v>
      </c>
      <c r="BY74" s="20">
        <f>Table3[[#This Row],[R6]]/10</f>
        <v>0.41200000000000003</v>
      </c>
      <c r="BZ74" s="20">
        <f>Table3[[#This Row],[R7]]/10</f>
        <v>4.1200000000000001E-2</v>
      </c>
      <c r="CA74" s="20">
        <f>Table3[[#This Row],[R8]]/10</f>
        <v>4.1200000000000004E-3</v>
      </c>
      <c r="CB74" s="20">
        <f>Table3[[#This Row],[R9]]/10</f>
        <v>4.1200000000000004E-4</v>
      </c>
    </row>
    <row r="75" spans="2:80" ht="17.649999999999999" thickBot="1">
      <c r="B75" s="136" t="s">
        <v>285</v>
      </c>
      <c r="C75" s="136"/>
      <c r="D75" s="137"/>
      <c r="E75" s="150" t="str">
        <f>IF(OR(K8="[Select Device]",K7="[Select Configuration]")," ",E79/3)</f>
        <v xml:space="preserve"> </v>
      </c>
      <c r="F75" s="614" t="str">
        <f>IF(OR(K8="[Select Device]",K7="[Select Configuration]")," ",E75/1000000)</f>
        <v xml:space="preserve"> </v>
      </c>
      <c r="G75" s="614"/>
      <c r="H75" s="615" t="str">
        <f>IF(OR(K8="[Select Device]",K7="[Select Configuration]")," ",F75*$G$32)</f>
        <v xml:space="preserve"> </v>
      </c>
      <c r="I75" s="616"/>
      <c r="J75" s="617" t="str">
        <f>IF(OR(K8="[Select Device]",K7="[Select Configuration]")," ",F75*H$68)</f>
        <v xml:space="preserve"> </v>
      </c>
      <c r="K75" s="617"/>
      <c r="L75" s="514" t="str">
        <f>IF(OR(K8="[Select Device]",K7="[Select Configuration]")," ",(H75/$G$32)*$K$9)</f>
        <v xml:space="preserve"> </v>
      </c>
      <c r="BI75" s="737" t="s">
        <v>312</v>
      </c>
      <c r="BJ75" s="738"/>
      <c r="BS75" s="62">
        <v>42.2</v>
      </c>
      <c r="BT75" s="18">
        <f>Table3[[#This Row],[R]]*10</f>
        <v>422</v>
      </c>
      <c r="BU75" s="19">
        <f>Table3[[#This Row],[R2]]*10</f>
        <v>4220</v>
      </c>
      <c r="BV75" s="19">
        <f>Table3[[#This Row],[R3]]*10</f>
        <v>42200</v>
      </c>
      <c r="BW75" s="19">
        <f>Table3[[#This Row],[R4]]*10</f>
        <v>422000</v>
      </c>
      <c r="BX75" s="20">
        <f>Table3[[#This Row],[R]]/10</f>
        <v>4.2200000000000006</v>
      </c>
      <c r="BY75" s="20">
        <f>Table3[[#This Row],[R6]]/10</f>
        <v>0.42200000000000004</v>
      </c>
      <c r="BZ75" s="20">
        <f>Table3[[#This Row],[R7]]/10</f>
        <v>4.2200000000000001E-2</v>
      </c>
      <c r="CA75" s="20">
        <f>Table3[[#This Row],[R8]]/10</f>
        <v>4.2199999999999998E-3</v>
      </c>
      <c r="CB75" s="20">
        <f>Table3[[#This Row],[R9]]/10</f>
        <v>4.2199999999999996E-4</v>
      </c>
    </row>
    <row r="76" spans="2:80" ht="17.649999999999999" thickBot="1">
      <c r="B76" s="138" t="s">
        <v>286</v>
      </c>
      <c r="C76" s="139"/>
      <c r="D76" s="140"/>
      <c r="E76" s="511" t="str">
        <f>IF(OR(K8="[Select Device]",K7="[Select Configuration]")," ",E80/3)</f>
        <v xml:space="preserve"> </v>
      </c>
      <c r="F76" s="659" t="str">
        <f>IF(OR(K8="[Select Device]",K7="[Select Configuration]")," ",E76/1000000)</f>
        <v xml:space="preserve"> </v>
      </c>
      <c r="G76" s="659"/>
      <c r="H76" s="619" t="str">
        <f>IF(OR(K8="[Select Device]",K7="[Select Configuration]")," ",F76*$G$32)</f>
        <v xml:space="preserve"> </v>
      </c>
      <c r="I76" s="620"/>
      <c r="J76" s="621" t="str">
        <f>IF(OR(K8="[Select Device]",K7="[Select Configuration]")," ",F76*H$68)</f>
        <v xml:space="preserve"> </v>
      </c>
      <c r="K76" s="621"/>
      <c r="L76" s="515" t="str">
        <f>IF(OR(K8="[Select Device]",K7="[Select Configuration]")," ",(H76/$G$32)*$K$9)</f>
        <v xml:space="preserve"> </v>
      </c>
      <c r="BI76" s="44" t="s">
        <v>94</v>
      </c>
      <c r="BJ76" s="47" t="e">
        <f>K9*K19/(K19+BJ36)*1000</f>
        <v>#VALUE!</v>
      </c>
      <c r="BS76" s="62">
        <v>43.2</v>
      </c>
      <c r="BT76" s="18">
        <f>Table3[[#This Row],[R]]*10</f>
        <v>432</v>
      </c>
      <c r="BU76" s="19">
        <f>Table3[[#This Row],[R2]]*10</f>
        <v>4320</v>
      </c>
      <c r="BV76" s="19">
        <f>Table3[[#This Row],[R3]]*10</f>
        <v>43200</v>
      </c>
      <c r="BW76" s="19">
        <f>Table3[[#This Row],[R4]]*10</f>
        <v>432000</v>
      </c>
      <c r="BX76" s="20">
        <f>Table3[[#This Row],[R]]/10</f>
        <v>4.32</v>
      </c>
      <c r="BY76" s="20">
        <f>Table3[[#This Row],[R6]]/10</f>
        <v>0.43200000000000005</v>
      </c>
      <c r="BZ76" s="20">
        <f>Table3[[#This Row],[R7]]/10</f>
        <v>4.3200000000000002E-2</v>
      </c>
      <c r="CA76" s="20">
        <f>Table3[[#This Row],[R8]]/10</f>
        <v>4.3200000000000001E-3</v>
      </c>
      <c r="CB76" s="20">
        <f>Table3[[#This Row],[R9]]/10</f>
        <v>4.3199999999999998E-4</v>
      </c>
    </row>
    <row r="77" spans="2:80" ht="18" hidden="1" customHeight="1" thickBot="1">
      <c r="B77" s="136" t="s">
        <v>284</v>
      </c>
      <c r="C77" s="137"/>
      <c r="D77" s="137"/>
      <c r="E77" s="150">
        <f>SQRT(SUMSQ(L71,L70))</f>
        <v>0</v>
      </c>
      <c r="F77" s="151"/>
      <c r="G77" s="516">
        <f>E77/1000000</f>
        <v>0</v>
      </c>
      <c r="H77" s="471" t="e">
        <f t="shared" ref="H77" si="0">G77*$G$32</f>
        <v>#VALUE!</v>
      </c>
      <c r="I77" s="152"/>
      <c r="J77" s="517" t="e">
        <f>G77*H$68</f>
        <v>#VALUE!</v>
      </c>
      <c r="K77" s="151"/>
      <c r="L77" s="514" t="e">
        <f t="shared" ref="L77" si="1">(H77/$G$32)*$K$9</f>
        <v>#VALUE!</v>
      </c>
      <c r="BI77" s="25" t="s">
        <v>303</v>
      </c>
      <c r="BJ77" s="120" t="e">
        <f>ABS((BJ67-BJ66)/BJ66)</f>
        <v>#VALUE!</v>
      </c>
      <c r="BS77" s="62">
        <v>44.2</v>
      </c>
      <c r="BT77" s="18">
        <f>Table3[[#This Row],[R]]*10</f>
        <v>442</v>
      </c>
      <c r="BU77" s="19">
        <f>Table3[[#This Row],[R2]]*10</f>
        <v>4420</v>
      </c>
      <c r="BV77" s="19">
        <f>Table3[[#This Row],[R3]]*10</f>
        <v>44200</v>
      </c>
      <c r="BW77" s="19">
        <f>Table3[[#This Row],[R4]]*10</f>
        <v>442000</v>
      </c>
      <c r="BX77" s="20">
        <f>Table3[[#This Row],[R]]/10</f>
        <v>4.42</v>
      </c>
      <c r="BY77" s="20">
        <f>Table3[[#This Row],[R6]]/10</f>
        <v>0.442</v>
      </c>
      <c r="BZ77" s="20">
        <f>Table3[[#This Row],[R7]]/10</f>
        <v>4.4200000000000003E-2</v>
      </c>
      <c r="CA77" s="20">
        <f>Table3[[#This Row],[R8]]/10</f>
        <v>4.4200000000000003E-3</v>
      </c>
      <c r="CB77" s="20">
        <f>Table3[[#This Row],[R9]]/10</f>
        <v>4.4200000000000001E-4</v>
      </c>
    </row>
    <row r="78" spans="2:80" ht="17.649999999999999" thickBot="1">
      <c r="B78" s="133" t="s">
        <v>529</v>
      </c>
      <c r="C78" s="134"/>
      <c r="D78" s="134"/>
      <c r="E78" s="512" t="str">
        <f>IF(OR(K8="[Select Device]",K7="[Select Configuration]")," ",SQRT(SUMSQ(L66,L67,L68,L69,L70,L71,L72)))</f>
        <v xml:space="preserve"> </v>
      </c>
      <c r="F78" s="633" t="str">
        <f>IF(OR(K8="[Select Device]",K7="[Select Configuration]")," ",E78/1000000)</f>
        <v xml:space="preserve"> </v>
      </c>
      <c r="G78" s="633"/>
      <c r="H78" s="662" t="str">
        <f>IF(OR(K8="[Select Device]",K7="[Select Configuration]")," ",F78*$G$32)</f>
        <v xml:space="preserve"> </v>
      </c>
      <c r="I78" s="663"/>
      <c r="J78" s="661" t="str">
        <f>IF(OR(K8="[Select Device]",K7="[Select Configuration]")," ",F78*H$68)</f>
        <v xml:space="preserve"> </v>
      </c>
      <c r="K78" s="661"/>
      <c r="L78" s="513" t="str">
        <f>IF(OR(K8="[Select Device]",K7="[Select Configuration]")," ",(H78/$G$32)*$K$9)</f>
        <v xml:space="preserve"> </v>
      </c>
      <c r="BI78" s="25" t="s">
        <v>313</v>
      </c>
      <c r="BJ78" s="47" t="e">
        <f>K9*BJ45/(BJ45+BJ35)*1000</f>
        <v>#VALUE!</v>
      </c>
      <c r="BS78" s="69">
        <v>45.3</v>
      </c>
      <c r="BT78" s="18">
        <f>Table3[[#This Row],[R]]*10</f>
        <v>453</v>
      </c>
      <c r="BU78" s="19">
        <f>Table3[[#This Row],[R2]]*10</f>
        <v>4530</v>
      </c>
      <c r="BV78" s="19">
        <f>Table3[[#This Row],[R3]]*10</f>
        <v>45300</v>
      </c>
      <c r="BW78" s="19">
        <f>Table3[[#This Row],[R4]]*10</f>
        <v>453000</v>
      </c>
      <c r="BX78" s="20">
        <f>Table3[[#This Row],[R]]/10</f>
        <v>4.5299999999999994</v>
      </c>
      <c r="BY78" s="20">
        <f>Table3[[#This Row],[R6]]/10</f>
        <v>0.45299999999999996</v>
      </c>
      <c r="BZ78" s="20">
        <f>Table3[[#This Row],[R7]]/10</f>
        <v>4.5299999999999993E-2</v>
      </c>
      <c r="CA78" s="20">
        <f>Table3[[#This Row],[R8]]/10</f>
        <v>4.5299999999999993E-3</v>
      </c>
      <c r="CB78" s="20">
        <f>Table3[[#This Row],[R9]]/10</f>
        <v>4.5299999999999995E-4</v>
      </c>
    </row>
    <row r="79" spans="2:80" ht="17.649999999999999" thickBot="1">
      <c r="B79" s="136" t="s">
        <v>530</v>
      </c>
      <c r="C79" s="137"/>
      <c r="D79" s="137"/>
      <c r="E79" s="150" t="str">
        <f>IF(OR(K8="[Select Device]",K7="[Select Configuration]")," ",SQRT(SUMSQ(L66,L67,L69,L70,L71,L72)))</f>
        <v xml:space="preserve"> </v>
      </c>
      <c r="F79" s="614" t="str">
        <f>IF(OR(K8="[Select Device]",K7="[Select Configuration]")," ",E79/1000000)</f>
        <v xml:space="preserve"> </v>
      </c>
      <c r="G79" s="614"/>
      <c r="H79" s="615" t="str">
        <f>IF(OR(K8="[Select Device]",K7="[Select Configuration]")," ",F79*$G$32)</f>
        <v xml:space="preserve"> </v>
      </c>
      <c r="I79" s="616"/>
      <c r="J79" s="617" t="str">
        <f>IF(OR(K8="[Select Device]",K7="[Select Configuration]")," ",F79*H$68)</f>
        <v xml:space="preserve"> </v>
      </c>
      <c r="K79" s="617"/>
      <c r="L79" s="514" t="str">
        <f>IF(OR(K8="[Select Device]",K7="[Select Configuration]")," ",(H79/$G$32)*$K$9)</f>
        <v xml:space="preserve"> </v>
      </c>
      <c r="BI79" s="25" t="s">
        <v>314</v>
      </c>
      <c r="BJ79" s="47" t="e">
        <f>K9*BJ48/(BJ48+BJ39)*1000</f>
        <v>#VALUE!</v>
      </c>
      <c r="BS79" s="55">
        <v>46.4</v>
      </c>
      <c r="BT79" s="18">
        <f>Table3[[#This Row],[R]]*10</f>
        <v>464</v>
      </c>
      <c r="BU79" s="19">
        <f>Table3[[#This Row],[R2]]*10</f>
        <v>4640</v>
      </c>
      <c r="BV79" s="19">
        <f>Table3[[#This Row],[R3]]*10</f>
        <v>46400</v>
      </c>
      <c r="BW79" s="19">
        <f>Table3[[#This Row],[R4]]*10</f>
        <v>464000</v>
      </c>
      <c r="BX79" s="20">
        <f>Table3[[#This Row],[R]]/10</f>
        <v>4.6399999999999997</v>
      </c>
      <c r="BY79" s="20">
        <f>Table3[[#This Row],[R6]]/10</f>
        <v>0.46399999999999997</v>
      </c>
      <c r="BZ79" s="20">
        <f>Table3[[#This Row],[R7]]/10</f>
        <v>4.6399999999999997E-2</v>
      </c>
      <c r="CA79" s="20">
        <f>Table3[[#This Row],[R8]]/10</f>
        <v>4.64E-3</v>
      </c>
      <c r="CB79" s="20">
        <f>Table3[[#This Row],[R9]]/10</f>
        <v>4.64E-4</v>
      </c>
    </row>
    <row r="80" spans="2:80" ht="17.649999999999999" thickBot="1">
      <c r="B80" s="139" t="s">
        <v>531</v>
      </c>
      <c r="C80" s="140"/>
      <c r="D80" s="140"/>
      <c r="E80" s="511" t="str">
        <f>IF(OR(K8="[Select Device]",K7="[Select Configuration]")," ",SQRT(SUMSQ(L67,L69,L70,L71)))</f>
        <v xml:space="preserve"> </v>
      </c>
      <c r="F80" s="618" t="str">
        <f>IF(OR(K8="[Select Device]",K7="[Select Configuration]")," ",E80/1000000)</f>
        <v xml:space="preserve"> </v>
      </c>
      <c r="G80" s="618"/>
      <c r="H80" s="619" t="str">
        <f>IF(OR(K8="[Select Device]",K7="[Select Configuration]")," ",F80*$G$32)</f>
        <v xml:space="preserve"> </v>
      </c>
      <c r="I80" s="620"/>
      <c r="J80" s="621" t="str">
        <f>IF(OR(K8="[Select Device]",K7="[Select Configuration]")," ",F80*H$68)</f>
        <v xml:space="preserve"> </v>
      </c>
      <c r="K80" s="621"/>
      <c r="L80" s="515" t="str">
        <f>IF(OR(K8="[Select Device]",K7="[Select Configuration]")," ",(H80/$G$32)*$K$9)</f>
        <v xml:space="preserve"> </v>
      </c>
      <c r="BI80" s="25" t="s">
        <v>323</v>
      </c>
      <c r="BJ80" s="121" t="e">
        <f>ABS((BJ78-BJ76)/BJ76)</f>
        <v>#VALUE!</v>
      </c>
      <c r="BS80" s="62">
        <v>47.5</v>
      </c>
      <c r="BT80" s="18">
        <f>Table3[[#This Row],[R]]*10</f>
        <v>475</v>
      </c>
      <c r="BU80" s="19">
        <f>Table3[[#This Row],[R2]]*10</f>
        <v>4750</v>
      </c>
      <c r="BV80" s="19">
        <f>Table3[[#This Row],[R3]]*10</f>
        <v>47500</v>
      </c>
      <c r="BW80" s="19">
        <f>Table3[[#This Row],[R4]]*10</f>
        <v>475000</v>
      </c>
      <c r="BX80" s="20">
        <f>Table3[[#This Row],[R]]/10</f>
        <v>4.75</v>
      </c>
      <c r="BY80" s="20">
        <f>Table3[[#This Row],[R6]]/10</f>
        <v>0.47499999999999998</v>
      </c>
      <c r="BZ80" s="20">
        <f>Table3[[#This Row],[R7]]/10</f>
        <v>4.7500000000000001E-2</v>
      </c>
      <c r="CA80" s="20">
        <f>Table3[[#This Row],[R8]]/10</f>
        <v>4.7499999999999999E-3</v>
      </c>
      <c r="CB80" s="20">
        <f>Table3[[#This Row],[R9]]/10</f>
        <v>4.75E-4</v>
      </c>
    </row>
    <row r="81" spans="2:80" ht="17.649999999999999" thickBot="1">
      <c r="B81" s="136" t="s">
        <v>281</v>
      </c>
      <c r="C81" s="137"/>
      <c r="D81" s="137"/>
      <c r="E81" s="150" t="str">
        <f>IF(OR(K8="[Select Device]",K7="[Select Configuration]")," ",(SUM(L66,L67,L68,L69,L70,L71,L72)))</f>
        <v xml:space="preserve"> </v>
      </c>
      <c r="F81" s="614" t="str">
        <f>IF(OR(K8="[Select Device]",K7="[Select Configuration]")," ",E81/1000000)</f>
        <v xml:space="preserve"> </v>
      </c>
      <c r="G81" s="614"/>
      <c r="H81" s="615" t="str">
        <f>IF(OR(K8="[Select Device]",K7="[Select Configuration]")," ",F81*$G$32)</f>
        <v xml:space="preserve"> </v>
      </c>
      <c r="I81" s="616"/>
      <c r="J81" s="617" t="str">
        <f>IF(OR(K8="[Select Device]",K7="[Select Configuration]")," ",F81*H$68)</f>
        <v xml:space="preserve"> </v>
      </c>
      <c r="K81" s="617"/>
      <c r="L81" s="514" t="str">
        <f>IF(OR(K8="[Select Device]",K7="[Select Configuration]")," ",(H81/$G$32)*$K$9)</f>
        <v xml:space="preserve"> </v>
      </c>
      <c r="BI81" s="57" t="s">
        <v>324</v>
      </c>
      <c r="BJ81" s="141" t="e">
        <f>ABS((BJ79-BJ76)/BJ76)</f>
        <v>#VALUE!</v>
      </c>
      <c r="BS81" s="62">
        <v>48.7</v>
      </c>
      <c r="BT81" s="18">
        <f>Table3[[#This Row],[R]]*10</f>
        <v>487</v>
      </c>
      <c r="BU81" s="19">
        <f>Table3[[#This Row],[R2]]*10</f>
        <v>4870</v>
      </c>
      <c r="BV81" s="19">
        <f>Table3[[#This Row],[R3]]*10</f>
        <v>48700</v>
      </c>
      <c r="BW81" s="19">
        <f>Table3[[#This Row],[R4]]*10</f>
        <v>487000</v>
      </c>
      <c r="BX81" s="20">
        <f>Table3[[#This Row],[R]]/10</f>
        <v>4.87</v>
      </c>
      <c r="BY81" s="20">
        <f>Table3[[#This Row],[R6]]/10</f>
        <v>0.48699999999999999</v>
      </c>
      <c r="BZ81" s="20">
        <f>Table3[[#This Row],[R7]]/10</f>
        <v>4.87E-2</v>
      </c>
      <c r="CA81" s="20">
        <f>Table3[[#This Row],[R8]]/10</f>
        <v>4.8700000000000002E-3</v>
      </c>
      <c r="CB81" s="20">
        <f>Table3[[#This Row],[R9]]/10</f>
        <v>4.8700000000000002E-4</v>
      </c>
    </row>
    <row r="82" spans="2:80" ht="17.649999999999999" thickBot="1">
      <c r="B82" s="136" t="s">
        <v>282</v>
      </c>
      <c r="C82" s="137"/>
      <c r="D82" s="137"/>
      <c r="E82" s="150" t="str">
        <f>IF(OR(K8="[Select Device]",K7="[Select Configuration]")," ",(SUM(L66,L67,L69,L70,L71,L72)))</f>
        <v xml:space="preserve"> </v>
      </c>
      <c r="F82" s="614" t="str">
        <f>IF(OR(K8="[Select Device]",K7="[Select Configuration]")," ",E82/1000000)</f>
        <v xml:space="preserve"> </v>
      </c>
      <c r="G82" s="614"/>
      <c r="H82" s="615" t="str">
        <f>IF(OR(K8="[Select Device]",K7="[Select Configuration]")," ",F82*$G$32)</f>
        <v xml:space="preserve"> </v>
      </c>
      <c r="I82" s="616"/>
      <c r="J82" s="617" t="str">
        <f>IF(OR(K8="[Select Device]",K7="[Select Configuration]")," ",F82*H$68)</f>
        <v xml:space="preserve"> </v>
      </c>
      <c r="K82" s="617"/>
      <c r="L82" s="514" t="str">
        <f>IF(OR(K8="[Select Device]",K7="[Select Configuration]")," ",(H82/$G$32)*$K$9)</f>
        <v xml:space="preserve"> </v>
      </c>
      <c r="BS82" s="62">
        <v>49.9</v>
      </c>
      <c r="BT82" s="18">
        <f>Table3[[#This Row],[R]]*10</f>
        <v>499</v>
      </c>
      <c r="BU82" s="19">
        <f>Table3[[#This Row],[R2]]*10</f>
        <v>4990</v>
      </c>
      <c r="BV82" s="19">
        <f>Table3[[#This Row],[R3]]*10</f>
        <v>49900</v>
      </c>
      <c r="BW82" s="19">
        <f>Table3[[#This Row],[R4]]*10</f>
        <v>499000</v>
      </c>
      <c r="BX82" s="20">
        <f>Table3[[#This Row],[R]]/10</f>
        <v>4.99</v>
      </c>
      <c r="BY82" s="20">
        <f>Table3[[#This Row],[R6]]/10</f>
        <v>0.499</v>
      </c>
      <c r="BZ82" s="20">
        <f>Table3[[#This Row],[R7]]/10</f>
        <v>4.99E-2</v>
      </c>
      <c r="CA82" s="20">
        <f>Table3[[#This Row],[R8]]/10</f>
        <v>4.9899999999999996E-3</v>
      </c>
      <c r="CB82" s="20">
        <f>Table3[[#This Row],[R9]]/10</f>
        <v>4.9899999999999999E-4</v>
      </c>
    </row>
    <row r="83" spans="2:80" ht="17.649999999999999" thickBot="1">
      <c r="B83" s="139" t="s">
        <v>283</v>
      </c>
      <c r="C83" s="140"/>
      <c r="D83" s="140"/>
      <c r="E83" s="511" t="str">
        <f>IF(OR(K8="[Select Device]",K7="[Select Configuration]")," ",(SUM(L67,L69,L70,L71)))</f>
        <v xml:space="preserve"> </v>
      </c>
      <c r="F83" s="618" t="str">
        <f>IF(OR(K8="[Select Device]",K7="[Select Configuration]")," ",E83/1000000)</f>
        <v xml:space="preserve"> </v>
      </c>
      <c r="G83" s="618"/>
      <c r="H83" s="619" t="str">
        <f>IF(OR(K8="[Select Device]",K7="[Select Configuration]")," ",F83*$G$32)</f>
        <v xml:space="preserve"> </v>
      </c>
      <c r="I83" s="620"/>
      <c r="J83" s="621" t="str">
        <f>IF(OR(K8="[Select Device]",K7="[Select Configuration]")," ",F83*H$68)</f>
        <v xml:space="preserve"> </v>
      </c>
      <c r="K83" s="621"/>
      <c r="L83" s="515" t="str">
        <f>IF(OR(K8="[Select Device]",K7="[Select Configuration]")," ",(H83/$G$32)*$K$9)</f>
        <v xml:space="preserve"> </v>
      </c>
      <c r="BS83" s="62">
        <v>51.1</v>
      </c>
      <c r="BT83" s="18">
        <f>Table3[[#This Row],[R]]*10</f>
        <v>511</v>
      </c>
      <c r="BU83" s="19">
        <f>Table3[[#This Row],[R2]]*10</f>
        <v>5110</v>
      </c>
      <c r="BV83" s="19">
        <f>Table3[[#This Row],[R3]]*10</f>
        <v>51100</v>
      </c>
      <c r="BW83" s="19">
        <f>Table3[[#This Row],[R4]]*10</f>
        <v>511000</v>
      </c>
      <c r="BX83" s="20">
        <f>Table3[[#This Row],[R]]/10</f>
        <v>5.1100000000000003</v>
      </c>
      <c r="BY83" s="20">
        <f>Table3[[#This Row],[R6]]/10</f>
        <v>0.51100000000000001</v>
      </c>
      <c r="BZ83" s="20">
        <f>Table3[[#This Row],[R7]]/10</f>
        <v>5.11E-2</v>
      </c>
      <c r="CA83" s="20">
        <f>Table3[[#This Row],[R8]]/10</f>
        <v>5.11E-3</v>
      </c>
      <c r="CB83" s="20">
        <f>Table3[[#This Row],[R9]]/10</f>
        <v>5.1099999999999995E-4</v>
      </c>
    </row>
    <row r="84" spans="2:80" ht="17.649999999999999" thickBot="1">
      <c r="B84" s="108"/>
      <c r="C84" s="108"/>
      <c r="D84" s="108"/>
      <c r="E84" s="108"/>
      <c r="F84" s="108"/>
      <c r="G84" s="108"/>
      <c r="H84" s="108"/>
      <c r="I84" s="108"/>
      <c r="J84" s="108"/>
      <c r="K84" s="108"/>
      <c r="L84" s="108"/>
      <c r="BS84" s="62">
        <v>52.3</v>
      </c>
      <c r="BT84" s="18">
        <f>Table3[[#This Row],[R]]*10</f>
        <v>523</v>
      </c>
      <c r="BU84" s="19">
        <f>Table3[[#This Row],[R2]]*10</f>
        <v>5230</v>
      </c>
      <c r="BV84" s="19">
        <f>Table3[[#This Row],[R3]]*10</f>
        <v>52300</v>
      </c>
      <c r="BW84" s="19">
        <f>Table3[[#This Row],[R4]]*10</f>
        <v>523000</v>
      </c>
      <c r="BX84" s="20">
        <f>Table3[[#This Row],[R]]/10</f>
        <v>5.2299999999999995</v>
      </c>
      <c r="BY84" s="20">
        <f>Table3[[#This Row],[R6]]/10</f>
        <v>0.52299999999999991</v>
      </c>
      <c r="BZ84" s="20">
        <f>Table3[[#This Row],[R7]]/10</f>
        <v>5.2299999999999992E-2</v>
      </c>
      <c r="CA84" s="20">
        <f>Table3[[#This Row],[R8]]/10</f>
        <v>5.2299999999999994E-3</v>
      </c>
      <c r="CB84" s="20">
        <f>Table3[[#This Row],[R9]]/10</f>
        <v>5.2299999999999992E-4</v>
      </c>
    </row>
    <row r="85" spans="2:80" ht="17.649999999999999" thickBot="1">
      <c r="B85" s="108"/>
      <c r="C85" s="108"/>
      <c r="D85" s="108"/>
      <c r="E85" s="108"/>
      <c r="F85" s="108"/>
      <c r="G85" s="108"/>
      <c r="H85" s="108"/>
      <c r="I85" s="108"/>
      <c r="J85" s="108"/>
      <c r="K85" s="108"/>
      <c r="L85" s="108"/>
      <c r="BS85" s="62">
        <v>53.6</v>
      </c>
      <c r="BT85" s="18">
        <f>Table3[[#This Row],[R]]*10</f>
        <v>536</v>
      </c>
      <c r="BU85" s="19">
        <f>Table3[[#This Row],[R2]]*10</f>
        <v>5360</v>
      </c>
      <c r="BV85" s="19">
        <f>Table3[[#This Row],[R3]]*10</f>
        <v>53600</v>
      </c>
      <c r="BW85" s="19">
        <f>Table3[[#This Row],[R4]]*10</f>
        <v>536000</v>
      </c>
      <c r="BX85" s="20">
        <f>Table3[[#This Row],[R]]/10</f>
        <v>5.36</v>
      </c>
      <c r="BY85" s="20">
        <f>Table3[[#This Row],[R6]]/10</f>
        <v>0.53600000000000003</v>
      </c>
      <c r="BZ85" s="20">
        <f>Table3[[#This Row],[R7]]/10</f>
        <v>5.3600000000000002E-2</v>
      </c>
      <c r="CA85" s="20">
        <f>Table3[[#This Row],[R8]]/10</f>
        <v>5.3600000000000002E-3</v>
      </c>
      <c r="CB85" s="20">
        <f>Table3[[#This Row],[R9]]/10</f>
        <v>5.3600000000000002E-4</v>
      </c>
    </row>
    <row r="86" spans="2:80" ht="17.649999999999999" thickBot="1">
      <c r="B86" s="108"/>
      <c r="C86" s="108"/>
      <c r="D86" s="108"/>
      <c r="E86" s="142"/>
      <c r="F86" s="108"/>
      <c r="G86" s="108"/>
      <c r="H86" s="108"/>
      <c r="I86" s="108"/>
      <c r="J86" s="108"/>
      <c r="K86" s="108"/>
      <c r="L86" s="108"/>
      <c r="BS86" s="69">
        <v>54.9</v>
      </c>
      <c r="BT86" s="18">
        <f>Table3[[#This Row],[R]]*10</f>
        <v>549</v>
      </c>
      <c r="BU86" s="19">
        <f>Table3[[#This Row],[R2]]*10</f>
        <v>5490</v>
      </c>
      <c r="BV86" s="19">
        <f>Table3[[#This Row],[R3]]*10</f>
        <v>54900</v>
      </c>
      <c r="BW86" s="19">
        <f>Table3[[#This Row],[R4]]*10</f>
        <v>549000</v>
      </c>
      <c r="BX86" s="20">
        <f>Table3[[#This Row],[R]]/10</f>
        <v>5.49</v>
      </c>
      <c r="BY86" s="20">
        <f>Table3[[#This Row],[R6]]/10</f>
        <v>0.54900000000000004</v>
      </c>
      <c r="BZ86" s="20">
        <f>Table3[[#This Row],[R7]]/10</f>
        <v>5.4900000000000004E-2</v>
      </c>
      <c r="CA86" s="20">
        <f>Table3[[#This Row],[R8]]/10</f>
        <v>5.4900000000000001E-3</v>
      </c>
      <c r="CB86" s="20">
        <f>Table3[[#This Row],[R9]]/10</f>
        <v>5.4900000000000001E-4</v>
      </c>
    </row>
    <row r="87" spans="2:80" ht="17.649999999999999" thickBot="1">
      <c r="B87" s="108"/>
      <c r="C87" s="108"/>
      <c r="D87" s="108"/>
      <c r="E87" s="142"/>
      <c r="F87" s="108"/>
      <c r="G87" s="108"/>
      <c r="H87" s="108"/>
      <c r="I87" s="108"/>
      <c r="J87" s="108"/>
      <c r="K87" s="108"/>
      <c r="L87" s="108"/>
      <c r="BS87" s="55">
        <v>56.2</v>
      </c>
      <c r="BT87" s="18">
        <f>Table3[[#This Row],[R]]*10</f>
        <v>562</v>
      </c>
      <c r="BU87" s="19">
        <f>Table3[[#This Row],[R2]]*10</f>
        <v>5620</v>
      </c>
      <c r="BV87" s="19">
        <f>Table3[[#This Row],[R3]]*10</f>
        <v>56200</v>
      </c>
      <c r="BW87" s="19">
        <f>Table3[[#This Row],[R4]]*10</f>
        <v>562000</v>
      </c>
      <c r="BX87" s="20">
        <f>Table3[[#This Row],[R]]/10</f>
        <v>5.62</v>
      </c>
      <c r="BY87" s="20">
        <f>Table3[[#This Row],[R6]]/10</f>
        <v>0.56200000000000006</v>
      </c>
      <c r="BZ87" s="20">
        <f>Table3[[#This Row],[R7]]/10</f>
        <v>5.6200000000000007E-2</v>
      </c>
      <c r="CA87" s="20">
        <f>Table3[[#This Row],[R8]]/10</f>
        <v>5.6200000000000009E-3</v>
      </c>
      <c r="CB87" s="20">
        <f>Table3[[#This Row],[R9]]/10</f>
        <v>5.6200000000000011E-4</v>
      </c>
    </row>
    <row r="88" spans="2:80" ht="17.649999999999999" thickBot="1">
      <c r="B88" s="108"/>
      <c r="C88" s="108"/>
      <c r="D88" s="108"/>
      <c r="E88" s="142"/>
      <c r="F88" s="108"/>
      <c r="G88" s="108"/>
      <c r="H88" s="108"/>
      <c r="I88" s="108"/>
      <c r="J88" s="143"/>
      <c r="K88" s="108"/>
      <c r="L88" s="108"/>
      <c r="BS88" s="62">
        <v>57.6</v>
      </c>
      <c r="BT88" s="18">
        <f>Table3[[#This Row],[R]]*10</f>
        <v>576</v>
      </c>
      <c r="BU88" s="19">
        <f>Table3[[#This Row],[R2]]*10</f>
        <v>5760</v>
      </c>
      <c r="BV88" s="19">
        <f>Table3[[#This Row],[R3]]*10</f>
        <v>57600</v>
      </c>
      <c r="BW88" s="19">
        <f>Table3[[#This Row],[R4]]*10</f>
        <v>576000</v>
      </c>
      <c r="BX88" s="20">
        <f>Table3[[#This Row],[R]]/10</f>
        <v>5.76</v>
      </c>
      <c r="BY88" s="20">
        <f>Table3[[#This Row],[R6]]/10</f>
        <v>0.57599999999999996</v>
      </c>
      <c r="BZ88" s="20">
        <f>Table3[[#This Row],[R7]]/10</f>
        <v>5.7599999999999998E-2</v>
      </c>
      <c r="CA88" s="20">
        <f>Table3[[#This Row],[R8]]/10</f>
        <v>5.7599999999999995E-3</v>
      </c>
      <c r="CB88" s="20">
        <f>Table3[[#This Row],[R9]]/10</f>
        <v>5.7599999999999991E-4</v>
      </c>
    </row>
    <row r="89" spans="2:80" ht="17.649999999999999" thickBot="1">
      <c r="B89" s="108"/>
      <c r="C89" s="108"/>
      <c r="D89" s="108"/>
      <c r="E89" s="142"/>
      <c r="F89" s="108"/>
      <c r="G89" s="108"/>
      <c r="H89" s="108"/>
      <c r="I89" s="108"/>
      <c r="J89" s="143"/>
      <c r="K89" s="108"/>
      <c r="L89" s="108"/>
      <c r="BS89" s="62">
        <v>59</v>
      </c>
      <c r="BT89" s="18">
        <f>Table3[[#This Row],[R]]*10</f>
        <v>590</v>
      </c>
      <c r="BU89" s="19">
        <f>Table3[[#This Row],[R2]]*10</f>
        <v>5900</v>
      </c>
      <c r="BV89" s="19">
        <f>Table3[[#This Row],[R3]]*10</f>
        <v>59000</v>
      </c>
      <c r="BW89" s="19">
        <f>Table3[[#This Row],[R4]]*10</f>
        <v>590000</v>
      </c>
      <c r="BX89" s="20">
        <f>Table3[[#This Row],[R]]/10</f>
        <v>5.9</v>
      </c>
      <c r="BY89" s="20">
        <f>Table3[[#This Row],[R6]]/10</f>
        <v>0.59000000000000008</v>
      </c>
      <c r="BZ89" s="20">
        <f>Table3[[#This Row],[R7]]/10</f>
        <v>5.9000000000000011E-2</v>
      </c>
      <c r="CA89" s="20">
        <f>Table3[[#This Row],[R8]]/10</f>
        <v>5.9000000000000007E-3</v>
      </c>
      <c r="CB89" s="20">
        <f>Table3[[#This Row],[R9]]/10</f>
        <v>5.9000000000000003E-4</v>
      </c>
    </row>
    <row r="90" spans="2:80" ht="17.649999999999999" thickBot="1">
      <c r="B90" s="108"/>
      <c r="C90" s="108"/>
      <c r="D90" s="108"/>
      <c r="E90" s="142"/>
      <c r="F90" s="108"/>
      <c r="G90" s="108"/>
      <c r="H90" s="108"/>
      <c r="I90" s="144"/>
      <c r="J90" s="142"/>
      <c r="K90" s="108"/>
      <c r="L90" s="108"/>
      <c r="BS90" s="62">
        <v>60.4</v>
      </c>
      <c r="BT90" s="18">
        <f>Table3[[#This Row],[R]]*10</f>
        <v>604</v>
      </c>
      <c r="BU90" s="19">
        <f>Table3[[#This Row],[R2]]*10</f>
        <v>6040</v>
      </c>
      <c r="BV90" s="19">
        <f>Table3[[#This Row],[R3]]*10</f>
        <v>60400</v>
      </c>
      <c r="BW90" s="19">
        <f>Table3[[#This Row],[R4]]*10</f>
        <v>604000</v>
      </c>
      <c r="BX90" s="20">
        <f>Table3[[#This Row],[R]]/10</f>
        <v>6.04</v>
      </c>
      <c r="BY90" s="20">
        <f>Table3[[#This Row],[R6]]/10</f>
        <v>0.60399999999999998</v>
      </c>
      <c r="BZ90" s="20">
        <f>Table3[[#This Row],[R7]]/10</f>
        <v>6.0399999999999995E-2</v>
      </c>
      <c r="CA90" s="20">
        <f>Table3[[#This Row],[R8]]/10</f>
        <v>6.0399999999999994E-3</v>
      </c>
      <c r="CB90" s="20">
        <f>Table3[[#This Row],[R9]]/10</f>
        <v>6.0399999999999994E-4</v>
      </c>
    </row>
    <row r="91" spans="2:80" ht="17.649999999999999" thickBot="1">
      <c r="B91" s="108"/>
      <c r="C91" s="108"/>
      <c r="D91" s="108"/>
      <c r="E91" s="108"/>
      <c r="F91" s="108"/>
      <c r="G91" s="108"/>
      <c r="H91" s="108"/>
      <c r="I91" s="108"/>
      <c r="J91" s="108"/>
      <c r="K91" s="108"/>
      <c r="L91" s="108"/>
      <c r="BS91" s="62">
        <v>61.9</v>
      </c>
      <c r="BT91" s="18">
        <f>Table3[[#This Row],[R]]*10</f>
        <v>619</v>
      </c>
      <c r="BU91" s="19">
        <f>Table3[[#This Row],[R2]]*10</f>
        <v>6190</v>
      </c>
      <c r="BV91" s="19">
        <f>Table3[[#This Row],[R3]]*10</f>
        <v>61900</v>
      </c>
      <c r="BW91" s="19">
        <f>Table3[[#This Row],[R4]]*10</f>
        <v>619000</v>
      </c>
      <c r="BX91" s="20">
        <f>Table3[[#This Row],[R]]/10</f>
        <v>6.1899999999999995</v>
      </c>
      <c r="BY91" s="20">
        <f>Table3[[#This Row],[R6]]/10</f>
        <v>0.61899999999999999</v>
      </c>
      <c r="BZ91" s="20">
        <f>Table3[[#This Row],[R7]]/10</f>
        <v>6.1899999999999997E-2</v>
      </c>
      <c r="CA91" s="20">
        <f>Table3[[#This Row],[R8]]/10</f>
        <v>6.1899999999999993E-3</v>
      </c>
      <c r="CB91" s="20">
        <f>Table3[[#This Row],[R9]]/10</f>
        <v>6.1899999999999998E-4</v>
      </c>
    </row>
    <row r="92" spans="2:80" ht="17.649999999999999" thickBot="1">
      <c r="B92" s="108"/>
      <c r="C92" s="108"/>
      <c r="D92" s="108"/>
      <c r="E92" s="108"/>
      <c r="F92" s="108"/>
      <c r="G92" s="108"/>
      <c r="H92" s="108"/>
      <c r="I92" s="108"/>
      <c r="J92" s="108"/>
      <c r="K92" s="108"/>
      <c r="L92" s="108"/>
      <c r="BS92" s="62">
        <v>63.4</v>
      </c>
      <c r="BT92" s="18">
        <f>Table3[[#This Row],[R]]*10</f>
        <v>634</v>
      </c>
      <c r="BU92" s="19">
        <f>Table3[[#This Row],[R2]]*10</f>
        <v>6340</v>
      </c>
      <c r="BV92" s="19">
        <f>Table3[[#This Row],[R3]]*10</f>
        <v>63400</v>
      </c>
      <c r="BW92" s="19">
        <f>Table3[[#This Row],[R4]]*10</f>
        <v>634000</v>
      </c>
      <c r="BX92" s="20">
        <f>Table3[[#This Row],[R]]/10</f>
        <v>6.34</v>
      </c>
      <c r="BY92" s="20">
        <f>Table3[[#This Row],[R6]]/10</f>
        <v>0.63400000000000001</v>
      </c>
      <c r="BZ92" s="20">
        <f>Table3[[#This Row],[R7]]/10</f>
        <v>6.3399999999999998E-2</v>
      </c>
      <c r="CA92" s="20">
        <f>Table3[[#This Row],[R8]]/10</f>
        <v>6.3400000000000001E-3</v>
      </c>
      <c r="CB92" s="20">
        <f>Table3[[#This Row],[R9]]/10</f>
        <v>6.3400000000000001E-4</v>
      </c>
    </row>
    <row r="93" spans="2:80" ht="17.649999999999999" thickBot="1">
      <c r="B93" s="108"/>
      <c r="C93" s="108"/>
      <c r="D93" s="108"/>
      <c r="E93" s="108"/>
      <c r="F93" s="108"/>
      <c r="G93" s="108"/>
      <c r="H93" s="108"/>
      <c r="I93" s="108"/>
      <c r="J93" s="108"/>
      <c r="K93" s="108"/>
      <c r="L93" s="108"/>
      <c r="BS93" s="62">
        <v>64.900000000000006</v>
      </c>
      <c r="BT93" s="18">
        <f>Table3[[#This Row],[R]]*10</f>
        <v>649</v>
      </c>
      <c r="BU93" s="19">
        <f>Table3[[#This Row],[R2]]*10</f>
        <v>6490</v>
      </c>
      <c r="BV93" s="19">
        <f>Table3[[#This Row],[R3]]*10</f>
        <v>64900</v>
      </c>
      <c r="BW93" s="19">
        <f>Table3[[#This Row],[R4]]*10</f>
        <v>649000</v>
      </c>
      <c r="BX93" s="20">
        <f>Table3[[#This Row],[R]]/10</f>
        <v>6.49</v>
      </c>
      <c r="BY93" s="20">
        <f>Table3[[#This Row],[R6]]/10</f>
        <v>0.64900000000000002</v>
      </c>
      <c r="BZ93" s="20">
        <f>Table3[[#This Row],[R7]]/10</f>
        <v>6.4899999999999999E-2</v>
      </c>
      <c r="CA93" s="20">
        <f>Table3[[#This Row],[R8]]/10</f>
        <v>6.4900000000000001E-3</v>
      </c>
      <c r="CB93" s="20">
        <f>Table3[[#This Row],[R9]]/10</f>
        <v>6.4900000000000005E-4</v>
      </c>
    </row>
    <row r="94" spans="2:80" ht="17.649999999999999" thickBot="1">
      <c r="B94" s="108"/>
      <c r="C94" s="108"/>
      <c r="D94" s="108"/>
      <c r="E94" s="108"/>
      <c r="F94" s="108"/>
      <c r="G94" s="108"/>
      <c r="H94" s="108"/>
      <c r="I94" s="108"/>
      <c r="J94" s="108"/>
      <c r="K94" s="108"/>
      <c r="L94" s="108"/>
      <c r="BS94" s="69">
        <v>66.5</v>
      </c>
      <c r="BT94" s="18">
        <f>Table3[[#This Row],[R]]*10</f>
        <v>665</v>
      </c>
      <c r="BU94" s="19">
        <f>Table3[[#This Row],[R2]]*10</f>
        <v>6650</v>
      </c>
      <c r="BV94" s="19">
        <f>Table3[[#This Row],[R3]]*10</f>
        <v>66500</v>
      </c>
      <c r="BW94" s="19">
        <f>Table3[[#This Row],[R4]]*10</f>
        <v>665000</v>
      </c>
      <c r="BX94" s="20">
        <f>Table3[[#This Row],[R]]/10</f>
        <v>6.65</v>
      </c>
      <c r="BY94" s="20">
        <f>Table3[[#This Row],[R6]]/10</f>
        <v>0.66500000000000004</v>
      </c>
      <c r="BZ94" s="20">
        <f>Table3[[#This Row],[R7]]/10</f>
        <v>6.6500000000000004E-2</v>
      </c>
      <c r="CA94" s="20">
        <f>Table3[[#This Row],[R8]]/10</f>
        <v>6.6500000000000005E-3</v>
      </c>
      <c r="CB94" s="20">
        <f>Table3[[#This Row],[R9]]/10</f>
        <v>6.6500000000000001E-4</v>
      </c>
    </row>
    <row r="95" spans="2:80" ht="17.649999999999999" thickBot="1">
      <c r="B95" s="108"/>
      <c r="C95" s="108"/>
      <c r="D95" s="108"/>
      <c r="E95" s="108"/>
      <c r="F95" s="108"/>
      <c r="G95" s="108"/>
      <c r="H95" s="108"/>
      <c r="I95" s="108"/>
      <c r="J95" s="108"/>
      <c r="K95" s="108"/>
      <c r="L95" s="108"/>
      <c r="BS95" s="55">
        <v>68.099999999999994</v>
      </c>
      <c r="BT95" s="18">
        <f>Table3[[#This Row],[R]]*10</f>
        <v>681</v>
      </c>
      <c r="BU95" s="19">
        <f>Table3[[#This Row],[R2]]*10</f>
        <v>6810</v>
      </c>
      <c r="BV95" s="19">
        <f>Table3[[#This Row],[R3]]*10</f>
        <v>68100</v>
      </c>
      <c r="BW95" s="19">
        <f>Table3[[#This Row],[R4]]*10</f>
        <v>681000</v>
      </c>
      <c r="BX95" s="20">
        <f>Table3[[#This Row],[R]]/10</f>
        <v>6.81</v>
      </c>
      <c r="BY95" s="20">
        <f>Table3[[#This Row],[R6]]/10</f>
        <v>0.68099999999999994</v>
      </c>
      <c r="BZ95" s="20">
        <f>Table3[[#This Row],[R7]]/10</f>
        <v>6.8099999999999994E-2</v>
      </c>
      <c r="CA95" s="20">
        <f>Table3[[#This Row],[R8]]/10</f>
        <v>6.8099999999999992E-3</v>
      </c>
      <c r="CB95" s="20">
        <f>Table3[[#This Row],[R9]]/10</f>
        <v>6.8099999999999996E-4</v>
      </c>
    </row>
    <row r="96" spans="2:80" ht="17.649999999999999" thickBot="1">
      <c r="B96" s="108"/>
      <c r="C96" s="108"/>
      <c r="D96" s="108"/>
      <c r="E96" s="108"/>
      <c r="F96" s="108"/>
      <c r="G96" s="108"/>
      <c r="H96" s="108"/>
      <c r="I96" s="108"/>
      <c r="J96" s="108"/>
      <c r="K96" s="108"/>
      <c r="L96" s="108"/>
      <c r="BS96" s="62">
        <v>69.8</v>
      </c>
      <c r="BT96" s="18">
        <f>Table3[[#This Row],[R]]*10</f>
        <v>698</v>
      </c>
      <c r="BU96" s="19">
        <f>Table3[[#This Row],[R2]]*10</f>
        <v>6980</v>
      </c>
      <c r="BV96" s="19">
        <f>Table3[[#This Row],[R3]]*10</f>
        <v>69800</v>
      </c>
      <c r="BW96" s="19">
        <f>Table3[[#This Row],[R4]]*10</f>
        <v>698000</v>
      </c>
      <c r="BX96" s="20">
        <f>Table3[[#This Row],[R]]/10</f>
        <v>6.9799999999999995</v>
      </c>
      <c r="BY96" s="20">
        <f>Table3[[#This Row],[R6]]/10</f>
        <v>0.69799999999999995</v>
      </c>
      <c r="BZ96" s="20">
        <f>Table3[[#This Row],[R7]]/10</f>
        <v>6.9800000000000001E-2</v>
      </c>
      <c r="CA96" s="20">
        <f>Table3[[#This Row],[R8]]/10</f>
        <v>6.9800000000000001E-3</v>
      </c>
      <c r="CB96" s="20">
        <f>Table3[[#This Row],[R9]]/10</f>
        <v>6.9800000000000005E-4</v>
      </c>
    </row>
    <row r="97" spans="2:80" ht="17.649999999999999" thickBot="1">
      <c r="B97" s="108"/>
      <c r="C97" s="108"/>
      <c r="D97" s="108"/>
      <c r="E97" s="108"/>
      <c r="F97" s="108"/>
      <c r="G97" s="108"/>
      <c r="H97" s="108"/>
      <c r="I97" s="108"/>
      <c r="J97" s="108"/>
      <c r="K97" s="108"/>
      <c r="L97" s="108"/>
      <c r="BS97" s="62">
        <v>71.5</v>
      </c>
      <c r="BT97" s="18">
        <f>Table3[[#This Row],[R]]*10</f>
        <v>715</v>
      </c>
      <c r="BU97" s="19">
        <f>Table3[[#This Row],[R2]]*10</f>
        <v>7150</v>
      </c>
      <c r="BV97" s="19">
        <f>Table3[[#This Row],[R3]]*10</f>
        <v>71500</v>
      </c>
      <c r="BW97" s="19">
        <f>Table3[[#This Row],[R4]]*10</f>
        <v>715000</v>
      </c>
      <c r="BX97" s="20">
        <f>Table3[[#This Row],[R]]/10</f>
        <v>7.15</v>
      </c>
      <c r="BY97" s="20">
        <f>Table3[[#This Row],[R6]]/10</f>
        <v>0.71500000000000008</v>
      </c>
      <c r="BZ97" s="20">
        <f>Table3[[#This Row],[R7]]/10</f>
        <v>7.1500000000000008E-2</v>
      </c>
      <c r="CA97" s="20">
        <f>Table3[[#This Row],[R8]]/10</f>
        <v>7.150000000000001E-3</v>
      </c>
      <c r="CB97" s="20">
        <f>Table3[[#This Row],[R9]]/10</f>
        <v>7.1500000000000014E-4</v>
      </c>
    </row>
    <row r="98" spans="2:80" ht="17.649999999999999" thickBot="1">
      <c r="B98" s="108"/>
      <c r="C98" s="108"/>
      <c r="D98" s="108"/>
      <c r="E98" s="108"/>
      <c r="F98" s="108"/>
      <c r="G98" s="108"/>
      <c r="H98" s="108"/>
      <c r="I98" s="108"/>
      <c r="J98" s="108"/>
      <c r="K98" s="108"/>
      <c r="L98" s="108"/>
      <c r="BS98" s="62">
        <v>73.2</v>
      </c>
      <c r="BT98" s="18">
        <f>Table3[[#This Row],[R]]*10</f>
        <v>732</v>
      </c>
      <c r="BU98" s="19">
        <f>Table3[[#This Row],[R2]]*10</f>
        <v>7320</v>
      </c>
      <c r="BV98" s="19">
        <f>Table3[[#This Row],[R3]]*10</f>
        <v>73200</v>
      </c>
      <c r="BW98" s="19">
        <f>Table3[[#This Row],[R4]]*10</f>
        <v>732000</v>
      </c>
      <c r="BX98" s="20">
        <f>Table3[[#This Row],[R]]/10</f>
        <v>7.32</v>
      </c>
      <c r="BY98" s="20">
        <f>Table3[[#This Row],[R6]]/10</f>
        <v>0.73199999999999998</v>
      </c>
      <c r="BZ98" s="20">
        <f>Table3[[#This Row],[R7]]/10</f>
        <v>7.3200000000000001E-2</v>
      </c>
      <c r="CA98" s="20">
        <f>Table3[[#This Row],[R8]]/10</f>
        <v>7.3200000000000001E-3</v>
      </c>
      <c r="CB98" s="20">
        <f>Table3[[#This Row],[R9]]/10</f>
        <v>7.3200000000000001E-4</v>
      </c>
    </row>
    <row r="99" spans="2:80" ht="17.649999999999999" thickBot="1">
      <c r="BS99" s="62">
        <v>75</v>
      </c>
      <c r="BT99" s="18">
        <f>Table3[[#This Row],[R]]*10</f>
        <v>750</v>
      </c>
      <c r="BU99" s="19">
        <f>Table3[[#This Row],[R2]]*10</f>
        <v>7500</v>
      </c>
      <c r="BV99" s="19">
        <f>Table3[[#This Row],[R3]]*10</f>
        <v>75000</v>
      </c>
      <c r="BW99" s="19">
        <f>Table3[[#This Row],[R4]]*10</f>
        <v>750000</v>
      </c>
      <c r="BX99" s="20">
        <f>Table3[[#This Row],[R]]/10</f>
        <v>7.5</v>
      </c>
      <c r="BY99" s="20">
        <f>Table3[[#This Row],[R6]]/10</f>
        <v>0.75</v>
      </c>
      <c r="BZ99" s="20">
        <f>Table3[[#This Row],[R7]]/10</f>
        <v>7.4999999999999997E-2</v>
      </c>
      <c r="CA99" s="20">
        <f>Table3[[#This Row],[R8]]/10</f>
        <v>7.4999999999999997E-3</v>
      </c>
      <c r="CB99" s="20">
        <f>Table3[[#This Row],[R9]]/10</f>
        <v>7.5000000000000002E-4</v>
      </c>
    </row>
    <row r="100" spans="2:80" ht="17.649999999999999" thickBot="1">
      <c r="BS100" s="62">
        <v>76.8</v>
      </c>
      <c r="BT100" s="18">
        <f>Table3[[#This Row],[R]]*10</f>
        <v>768</v>
      </c>
      <c r="BU100" s="19">
        <f>Table3[[#This Row],[R2]]*10</f>
        <v>7680</v>
      </c>
      <c r="BV100" s="19">
        <f>Table3[[#This Row],[R3]]*10</f>
        <v>76800</v>
      </c>
      <c r="BW100" s="19">
        <f>Table3[[#This Row],[R4]]*10</f>
        <v>768000</v>
      </c>
      <c r="BX100" s="20">
        <f>Table3[[#This Row],[R]]/10</f>
        <v>7.68</v>
      </c>
      <c r="BY100" s="20">
        <f>Table3[[#This Row],[R6]]/10</f>
        <v>0.76800000000000002</v>
      </c>
      <c r="BZ100" s="20">
        <f>Table3[[#This Row],[R7]]/10</f>
        <v>7.6800000000000007E-2</v>
      </c>
      <c r="CA100" s="20">
        <f>Table3[[#This Row],[R8]]/10</f>
        <v>7.6800000000000011E-3</v>
      </c>
      <c r="CB100" s="20">
        <f>Table3[[#This Row],[R9]]/10</f>
        <v>7.6800000000000013E-4</v>
      </c>
    </row>
    <row r="101" spans="2:80" ht="17.649999999999999" thickBot="1">
      <c r="BS101" s="62">
        <v>78.7</v>
      </c>
      <c r="BT101" s="18">
        <f>Table3[[#This Row],[R]]*10</f>
        <v>787</v>
      </c>
      <c r="BU101" s="19">
        <f>Table3[[#This Row],[R2]]*10</f>
        <v>7870</v>
      </c>
      <c r="BV101" s="19">
        <f>Table3[[#This Row],[R3]]*10</f>
        <v>78700</v>
      </c>
      <c r="BW101" s="19">
        <f>Table3[[#This Row],[R4]]*10</f>
        <v>787000</v>
      </c>
      <c r="BX101" s="20">
        <f>Table3[[#This Row],[R]]/10</f>
        <v>7.87</v>
      </c>
      <c r="BY101" s="20">
        <f>Table3[[#This Row],[R6]]/10</f>
        <v>0.78700000000000003</v>
      </c>
      <c r="BZ101" s="20">
        <f>Table3[[#This Row],[R7]]/10</f>
        <v>7.8700000000000006E-2</v>
      </c>
      <c r="CA101" s="20">
        <f>Table3[[#This Row],[R8]]/10</f>
        <v>7.8700000000000003E-3</v>
      </c>
      <c r="CB101" s="20">
        <f>Table3[[#This Row],[R9]]/10</f>
        <v>7.8700000000000005E-4</v>
      </c>
    </row>
    <row r="102" spans="2:80" ht="17.649999999999999" thickBot="1">
      <c r="BS102" s="69">
        <v>80.599999999999994</v>
      </c>
      <c r="BT102" s="18">
        <f>Table3[[#This Row],[R]]*10</f>
        <v>806</v>
      </c>
      <c r="BU102" s="19">
        <f>Table3[[#This Row],[R2]]*10</f>
        <v>8060</v>
      </c>
      <c r="BV102" s="19">
        <f>Table3[[#This Row],[R3]]*10</f>
        <v>80600</v>
      </c>
      <c r="BW102" s="19">
        <f>Table3[[#This Row],[R4]]*10</f>
        <v>806000</v>
      </c>
      <c r="BX102" s="20">
        <f>Table3[[#This Row],[R]]/10</f>
        <v>8.0599999999999987</v>
      </c>
      <c r="BY102" s="20">
        <f>Table3[[#This Row],[R6]]/10</f>
        <v>0.80599999999999983</v>
      </c>
      <c r="BZ102" s="20">
        <f>Table3[[#This Row],[R7]]/10</f>
        <v>8.0599999999999977E-2</v>
      </c>
      <c r="CA102" s="20">
        <f>Table3[[#This Row],[R8]]/10</f>
        <v>8.0599999999999977E-3</v>
      </c>
      <c r="CB102" s="20">
        <f>Table3[[#This Row],[R9]]/10</f>
        <v>8.0599999999999975E-4</v>
      </c>
    </row>
    <row r="103" spans="2:80" ht="17.649999999999999" thickBot="1">
      <c r="BS103" s="145">
        <v>82.5</v>
      </c>
      <c r="BT103" s="18">
        <f>Table3[[#This Row],[R]]*10</f>
        <v>825</v>
      </c>
      <c r="BU103" s="19">
        <f>Table3[[#This Row],[R2]]*10</f>
        <v>8250</v>
      </c>
      <c r="BV103" s="19">
        <f>Table3[[#This Row],[R3]]*10</f>
        <v>82500</v>
      </c>
      <c r="BW103" s="19">
        <f>Table3[[#This Row],[R4]]*10</f>
        <v>825000</v>
      </c>
      <c r="BX103" s="20">
        <f>Table3[[#This Row],[R]]/10</f>
        <v>8.25</v>
      </c>
      <c r="BY103" s="20">
        <f>Table3[[#This Row],[R6]]/10</f>
        <v>0.82499999999999996</v>
      </c>
      <c r="BZ103" s="20">
        <f>Table3[[#This Row],[R7]]/10</f>
        <v>8.249999999999999E-2</v>
      </c>
      <c r="CA103" s="20">
        <f>Table3[[#This Row],[R8]]/10</f>
        <v>8.2499999999999987E-3</v>
      </c>
      <c r="CB103" s="20">
        <f>Table3[[#This Row],[R9]]/10</f>
        <v>8.2499999999999989E-4</v>
      </c>
    </row>
    <row r="104" spans="2:80" ht="17.649999999999999" thickBot="1">
      <c r="BS104" s="146">
        <v>84.5</v>
      </c>
      <c r="BT104" s="18">
        <f>Table3[[#This Row],[R]]*10</f>
        <v>845</v>
      </c>
      <c r="BU104" s="19">
        <f>Table3[[#This Row],[R2]]*10</f>
        <v>8450</v>
      </c>
      <c r="BV104" s="19">
        <f>Table3[[#This Row],[R3]]*10</f>
        <v>84500</v>
      </c>
      <c r="BW104" s="19">
        <f>Table3[[#This Row],[R4]]*10</f>
        <v>845000</v>
      </c>
      <c r="BX104" s="20">
        <f>Table3[[#This Row],[R]]/10</f>
        <v>8.4499999999999993</v>
      </c>
      <c r="BY104" s="20">
        <f>Table3[[#This Row],[R6]]/10</f>
        <v>0.84499999999999997</v>
      </c>
      <c r="BZ104" s="20">
        <f>Table3[[#This Row],[R7]]/10</f>
        <v>8.4499999999999992E-2</v>
      </c>
      <c r="CA104" s="20">
        <f>Table3[[#This Row],[R8]]/10</f>
        <v>8.4499999999999992E-3</v>
      </c>
      <c r="CB104" s="20">
        <f>Table3[[#This Row],[R9]]/10</f>
        <v>8.4499999999999994E-4</v>
      </c>
    </row>
    <row r="105" spans="2:80" ht="17.649999999999999" thickBot="1">
      <c r="BS105" s="146">
        <v>86.6</v>
      </c>
      <c r="BT105" s="18">
        <f>Table3[[#This Row],[R]]*10</f>
        <v>866</v>
      </c>
      <c r="BU105" s="19">
        <f>Table3[[#This Row],[R2]]*10</f>
        <v>8660</v>
      </c>
      <c r="BV105" s="19">
        <f>Table3[[#This Row],[R3]]*10</f>
        <v>86600</v>
      </c>
      <c r="BW105" s="19">
        <f>Table3[[#This Row],[R4]]*10</f>
        <v>866000</v>
      </c>
      <c r="BX105" s="20">
        <f>Table3[[#This Row],[R]]/10</f>
        <v>8.66</v>
      </c>
      <c r="BY105" s="20">
        <f>Table3[[#This Row],[R6]]/10</f>
        <v>0.86599999999999999</v>
      </c>
      <c r="BZ105" s="20">
        <f>Table3[[#This Row],[R7]]/10</f>
        <v>8.6599999999999996E-2</v>
      </c>
      <c r="CA105" s="20">
        <f>Table3[[#This Row],[R8]]/10</f>
        <v>8.6599999999999993E-3</v>
      </c>
      <c r="CB105" s="20">
        <f>Table3[[#This Row],[R9]]/10</f>
        <v>8.6599999999999991E-4</v>
      </c>
    </row>
    <row r="106" spans="2:80" ht="17.649999999999999" thickBot="1">
      <c r="BS106" s="146">
        <v>88.7</v>
      </c>
      <c r="BT106" s="18">
        <f>Table3[[#This Row],[R]]*10</f>
        <v>887</v>
      </c>
      <c r="BU106" s="19">
        <f>Table3[[#This Row],[R2]]*10</f>
        <v>8870</v>
      </c>
      <c r="BV106" s="19">
        <f>Table3[[#This Row],[R3]]*10</f>
        <v>88700</v>
      </c>
      <c r="BW106" s="19">
        <f>Table3[[#This Row],[R4]]*10</f>
        <v>887000</v>
      </c>
      <c r="BX106" s="20">
        <f>Table3[[#This Row],[R]]/10</f>
        <v>8.870000000000001</v>
      </c>
      <c r="BY106" s="20">
        <f>Table3[[#This Row],[R6]]/10</f>
        <v>0.88700000000000012</v>
      </c>
      <c r="BZ106" s="20">
        <f>Table3[[#This Row],[R7]]/10</f>
        <v>8.8700000000000015E-2</v>
      </c>
      <c r="CA106" s="20">
        <f>Table3[[#This Row],[R8]]/10</f>
        <v>8.8700000000000011E-3</v>
      </c>
      <c r="CB106" s="20">
        <f>Table3[[#This Row],[R9]]/10</f>
        <v>8.8700000000000009E-4</v>
      </c>
    </row>
    <row r="107" spans="2:80" ht="17.649999999999999" thickBot="1">
      <c r="BS107" s="146">
        <v>90.9</v>
      </c>
      <c r="BT107" s="18">
        <f>Table3[[#This Row],[R]]*10</f>
        <v>909</v>
      </c>
      <c r="BU107" s="19">
        <f>Table3[[#This Row],[R2]]*10</f>
        <v>9090</v>
      </c>
      <c r="BV107" s="19">
        <f>Table3[[#This Row],[R3]]*10</f>
        <v>90900</v>
      </c>
      <c r="BW107" s="19">
        <f>Table3[[#This Row],[R4]]*10</f>
        <v>909000</v>
      </c>
      <c r="BX107" s="20">
        <f>Table3[[#This Row],[R]]/10</f>
        <v>9.09</v>
      </c>
      <c r="BY107" s="20">
        <f>Table3[[#This Row],[R6]]/10</f>
        <v>0.90900000000000003</v>
      </c>
      <c r="BZ107" s="20">
        <f>Table3[[#This Row],[R7]]/10</f>
        <v>9.0900000000000009E-2</v>
      </c>
      <c r="CA107" s="20">
        <f>Table3[[#This Row],[R8]]/10</f>
        <v>9.0900000000000009E-3</v>
      </c>
      <c r="CB107" s="20">
        <f>Table3[[#This Row],[R9]]/10</f>
        <v>9.0900000000000009E-4</v>
      </c>
    </row>
    <row r="108" spans="2:80" ht="17.649999999999999" thickBot="1">
      <c r="BS108" s="146">
        <v>93.1</v>
      </c>
      <c r="BT108" s="18">
        <f>Table3[[#This Row],[R]]*10</f>
        <v>931</v>
      </c>
      <c r="BU108" s="19">
        <f>Table3[[#This Row],[R2]]*10</f>
        <v>9310</v>
      </c>
      <c r="BV108" s="19">
        <f>Table3[[#This Row],[R3]]*10</f>
        <v>93100</v>
      </c>
      <c r="BW108" s="19">
        <f>Table3[[#This Row],[R4]]*10</f>
        <v>931000</v>
      </c>
      <c r="BX108" s="20">
        <f>Table3[[#This Row],[R]]/10</f>
        <v>9.3099999999999987</v>
      </c>
      <c r="BY108" s="20">
        <f>Table3[[#This Row],[R6]]/10</f>
        <v>0.93099999999999983</v>
      </c>
      <c r="BZ108" s="20">
        <f>Table3[[#This Row],[R7]]/10</f>
        <v>9.3099999999999988E-2</v>
      </c>
      <c r="CA108" s="20">
        <f>Table3[[#This Row],[R8]]/10</f>
        <v>9.3099999999999988E-3</v>
      </c>
      <c r="CB108" s="20">
        <f>Table3[[#This Row],[R9]]/10</f>
        <v>9.3099999999999986E-4</v>
      </c>
    </row>
    <row r="109" spans="2:80" ht="17.649999999999999" thickBot="1">
      <c r="BS109" s="146">
        <v>95.3</v>
      </c>
      <c r="BT109" s="18">
        <f>Table3[[#This Row],[R]]*10</f>
        <v>953</v>
      </c>
      <c r="BU109" s="19">
        <f>Table3[[#This Row],[R2]]*10</f>
        <v>9530</v>
      </c>
      <c r="BV109" s="19">
        <f>Table3[[#This Row],[R3]]*10</f>
        <v>95300</v>
      </c>
      <c r="BW109" s="19">
        <f>Table3[[#This Row],[R4]]*10</f>
        <v>953000</v>
      </c>
      <c r="BX109" s="20">
        <f>Table3[[#This Row],[R]]/10</f>
        <v>9.5299999999999994</v>
      </c>
      <c r="BY109" s="20">
        <f>Table3[[#This Row],[R6]]/10</f>
        <v>0.95299999999999996</v>
      </c>
      <c r="BZ109" s="20">
        <f>Table3[[#This Row],[R7]]/10</f>
        <v>9.5299999999999996E-2</v>
      </c>
      <c r="CA109" s="20">
        <f>Table3[[#This Row],[R8]]/10</f>
        <v>9.5300000000000003E-3</v>
      </c>
      <c r="CB109" s="20">
        <f>Table3[[#This Row],[R9]]/10</f>
        <v>9.5300000000000007E-4</v>
      </c>
    </row>
    <row r="110" spans="2:80" ht="17.649999999999999" thickBot="1">
      <c r="BS110" s="434"/>
      <c r="BT110" s="435">
        <v>20800</v>
      </c>
      <c r="BU110" s="436">
        <v>16700</v>
      </c>
      <c r="BV110" s="436">
        <v>12500</v>
      </c>
      <c r="BW110" s="436">
        <v>16600</v>
      </c>
      <c r="BX110" s="436">
        <v>21000</v>
      </c>
      <c r="BY110" s="436"/>
      <c r="BZ110" s="436"/>
      <c r="CA110" s="436"/>
      <c r="CB110" s="436"/>
    </row>
    <row r="111" spans="2:80" ht="17.649999999999999" thickBot="1">
      <c r="BS111" s="147">
        <v>97.6</v>
      </c>
      <c r="BT111" s="18">
        <f>Table3[[#This Row],[R]]*10</f>
        <v>976</v>
      </c>
      <c r="BU111" s="19">
        <f>Table3[[#This Row],[R2]]*10</f>
        <v>9760</v>
      </c>
      <c r="BV111" s="19">
        <f>Table3[[#This Row],[R3]]*10</f>
        <v>97600</v>
      </c>
      <c r="BW111" s="19">
        <f>Table3[[#This Row],[R4]]*10</f>
        <v>976000</v>
      </c>
      <c r="BX111" s="20">
        <f>Table3[[#This Row],[R]]/10</f>
        <v>9.76</v>
      </c>
      <c r="BY111" s="20">
        <f>Table3[[#This Row],[R6]]/10</f>
        <v>0.97599999999999998</v>
      </c>
      <c r="BZ111" s="20">
        <f>Table3[[#This Row],[R7]]/10</f>
        <v>9.7599999999999992E-2</v>
      </c>
      <c r="CA111" s="20">
        <f>Table3[[#This Row],[R8]]/10</f>
        <v>9.7599999999999996E-3</v>
      </c>
      <c r="CB111" s="20">
        <f>Table3[[#This Row],[R9]]/10</f>
        <v>9.7599999999999998E-4</v>
      </c>
    </row>
  </sheetData>
  <sheetProtection algorithmName="SHA-512" hashValue="U7eoL0CUrqO+d9XxuGAo7InxhTUAkBwUhBG66kfGR0s278VfYmkc3yUIvT4rB4cBgLjclMGoxoKGxuy3sjA8qg==" saltValue="XZvFocINJrrVQIKjVqSyyg==" spinCount="100000" sheet="1" selectLockedCells="1"/>
  <protectedRanges>
    <protectedRange sqref="L59:L60" name="Range1_1"/>
  </protectedRanges>
  <mergeCells count="242">
    <mergeCell ref="N52:O52"/>
    <mergeCell ref="BI65:BJ65"/>
    <mergeCell ref="BI75:BJ75"/>
    <mergeCell ref="BI41:BJ41"/>
    <mergeCell ref="BI38:BJ38"/>
    <mergeCell ref="BI46:BJ46"/>
    <mergeCell ref="BI49:BJ49"/>
    <mergeCell ref="I43:J43"/>
    <mergeCell ref="H66:I66"/>
    <mergeCell ref="H67:I67"/>
    <mergeCell ref="H68:I68"/>
    <mergeCell ref="K42:L42"/>
    <mergeCell ref="K43:L43"/>
    <mergeCell ref="H70:I70"/>
    <mergeCell ref="J58:K58"/>
    <mergeCell ref="J68:K68"/>
    <mergeCell ref="J69:K69"/>
    <mergeCell ref="J70:K70"/>
    <mergeCell ref="B62:L63"/>
    <mergeCell ref="D65:E65"/>
    <mergeCell ref="B65:C65"/>
    <mergeCell ref="F65:I65"/>
    <mergeCell ref="J56:K56"/>
    <mergeCell ref="G49:H49"/>
    <mergeCell ref="K46:L46"/>
    <mergeCell ref="I49:J49"/>
    <mergeCell ref="G42:H42"/>
    <mergeCell ref="G43:H43"/>
    <mergeCell ref="E47:F47"/>
    <mergeCell ref="E48:F48"/>
    <mergeCell ref="E49:F49"/>
    <mergeCell ref="B41:D41"/>
    <mergeCell ref="B42:D42"/>
    <mergeCell ref="B43:D43"/>
    <mergeCell ref="K45:L45"/>
    <mergeCell ref="I46:J46"/>
    <mergeCell ref="G46:H46"/>
    <mergeCell ref="E39:F39"/>
    <mergeCell ref="E40:F40"/>
    <mergeCell ref="E41:F41"/>
    <mergeCell ref="E42:F42"/>
    <mergeCell ref="E43:F43"/>
    <mergeCell ref="G39:H39"/>
    <mergeCell ref="G40:H40"/>
    <mergeCell ref="G41:H41"/>
    <mergeCell ref="E46:F46"/>
    <mergeCell ref="I39:J39"/>
    <mergeCell ref="I40:J40"/>
    <mergeCell ref="I41:J41"/>
    <mergeCell ref="I42:J42"/>
    <mergeCell ref="A1:K3"/>
    <mergeCell ref="A4:T4"/>
    <mergeCell ref="B23:C23"/>
    <mergeCell ref="N2:O2"/>
    <mergeCell ref="G6:L6"/>
    <mergeCell ref="K7:L7"/>
    <mergeCell ref="K8:L8"/>
    <mergeCell ref="K9:L9"/>
    <mergeCell ref="K15:L15"/>
    <mergeCell ref="K16:L16"/>
    <mergeCell ref="K17:L17"/>
    <mergeCell ref="K18:L18"/>
    <mergeCell ref="K19:L19"/>
    <mergeCell ref="K10:L10"/>
    <mergeCell ref="K11:L11"/>
    <mergeCell ref="K12:L12"/>
    <mergeCell ref="K13:L13"/>
    <mergeCell ref="K14:L14"/>
    <mergeCell ref="N34:S34"/>
    <mergeCell ref="N7:Q8"/>
    <mergeCell ref="N6:Q6"/>
    <mergeCell ref="N15:Q15"/>
    <mergeCell ref="N16:Q16"/>
    <mergeCell ref="U4:BR4"/>
    <mergeCell ref="BI8:BJ8"/>
    <mergeCell ref="BL8:BO8"/>
    <mergeCell ref="BL9:BM9"/>
    <mergeCell ref="BQ8:BR8"/>
    <mergeCell ref="BF8:BG8"/>
    <mergeCell ref="BF17:BG17"/>
    <mergeCell ref="BF20:BG20"/>
    <mergeCell ref="BN9:BO9"/>
    <mergeCell ref="BL36:BM36"/>
    <mergeCell ref="BL41:BM41"/>
    <mergeCell ref="BI20:BJ20"/>
    <mergeCell ref="BI26:BJ26"/>
    <mergeCell ref="BL25:BM25"/>
    <mergeCell ref="BL30:BM30"/>
    <mergeCell ref="BF29:BG29"/>
    <mergeCell ref="BF30:BG30"/>
    <mergeCell ref="BI34:BJ34"/>
    <mergeCell ref="G16:J16"/>
    <mergeCell ref="G17:J17"/>
    <mergeCell ref="G18:J18"/>
    <mergeCell ref="G19:J19"/>
    <mergeCell ref="K20:L20"/>
    <mergeCell ref="G7:J7"/>
    <mergeCell ref="G8:J8"/>
    <mergeCell ref="G9:J9"/>
    <mergeCell ref="G10:J10"/>
    <mergeCell ref="G11:J11"/>
    <mergeCell ref="G12:J12"/>
    <mergeCell ref="G13:J13"/>
    <mergeCell ref="G14:J14"/>
    <mergeCell ref="G15:J15"/>
    <mergeCell ref="G20:J20"/>
    <mergeCell ref="G21:J21"/>
    <mergeCell ref="G22:J22"/>
    <mergeCell ref="G23:J23"/>
    <mergeCell ref="G24:J24"/>
    <mergeCell ref="G25:J25"/>
    <mergeCell ref="K25:L25"/>
    <mergeCell ref="K26:L26"/>
    <mergeCell ref="K21:L21"/>
    <mergeCell ref="K22:L22"/>
    <mergeCell ref="K23:L23"/>
    <mergeCell ref="K24:L24"/>
    <mergeCell ref="G26:J26"/>
    <mergeCell ref="B31:D32"/>
    <mergeCell ref="E31:F32"/>
    <mergeCell ref="B33:D33"/>
    <mergeCell ref="I37:J37"/>
    <mergeCell ref="I38:J38"/>
    <mergeCell ref="E33:F33"/>
    <mergeCell ref="E34:F34"/>
    <mergeCell ref="E35:F35"/>
    <mergeCell ref="E36:F36"/>
    <mergeCell ref="E37:F37"/>
    <mergeCell ref="E38:F38"/>
    <mergeCell ref="G37:H37"/>
    <mergeCell ref="G38:H38"/>
    <mergeCell ref="B30:L30"/>
    <mergeCell ref="K32:L32"/>
    <mergeCell ref="H72:I72"/>
    <mergeCell ref="B37:D37"/>
    <mergeCell ref="I45:J45"/>
    <mergeCell ref="B38:D38"/>
    <mergeCell ref="G33:H33"/>
    <mergeCell ref="G34:H34"/>
    <mergeCell ref="G35:H35"/>
    <mergeCell ref="G36:H36"/>
    <mergeCell ref="B34:D34"/>
    <mergeCell ref="B35:D35"/>
    <mergeCell ref="B36:D36"/>
    <mergeCell ref="K37:L37"/>
    <mergeCell ref="K38:L38"/>
    <mergeCell ref="K39:L39"/>
    <mergeCell ref="K40:L40"/>
    <mergeCell ref="K41:L41"/>
    <mergeCell ref="B64:C64"/>
    <mergeCell ref="D64:E64"/>
    <mergeCell ref="F64:I64"/>
    <mergeCell ref="J64:L64"/>
    <mergeCell ref="B39:D39"/>
    <mergeCell ref="B40:D40"/>
    <mergeCell ref="F69:G69"/>
    <mergeCell ref="F70:G70"/>
    <mergeCell ref="F71:G71"/>
    <mergeCell ref="F72:G72"/>
    <mergeCell ref="H71:I71"/>
    <mergeCell ref="N19:O19"/>
    <mergeCell ref="F73:G73"/>
    <mergeCell ref="H73:I73"/>
    <mergeCell ref="J73:K73"/>
    <mergeCell ref="G27:J27"/>
    <mergeCell ref="K33:L33"/>
    <mergeCell ref="K34:L34"/>
    <mergeCell ref="K35:L35"/>
    <mergeCell ref="K36:L36"/>
    <mergeCell ref="K31:L31"/>
    <mergeCell ref="G31:H31"/>
    <mergeCell ref="G32:H32"/>
    <mergeCell ref="I31:J31"/>
    <mergeCell ref="I32:J32"/>
    <mergeCell ref="K27:L27"/>
    <mergeCell ref="I33:J33"/>
    <mergeCell ref="I34:J34"/>
    <mergeCell ref="I35:J35"/>
    <mergeCell ref="I36:J36"/>
    <mergeCell ref="H69:I69"/>
    <mergeCell ref="J78:K78"/>
    <mergeCell ref="J79:K79"/>
    <mergeCell ref="J80:K80"/>
    <mergeCell ref="J74:K74"/>
    <mergeCell ref="J75:K75"/>
    <mergeCell ref="J76:K76"/>
    <mergeCell ref="H78:I78"/>
    <mergeCell ref="H79:I79"/>
    <mergeCell ref="H80:I80"/>
    <mergeCell ref="H74:I74"/>
    <mergeCell ref="H75:I75"/>
    <mergeCell ref="H76:I76"/>
    <mergeCell ref="J71:K71"/>
    <mergeCell ref="J72:K72"/>
    <mergeCell ref="N11:R12"/>
    <mergeCell ref="F78:G78"/>
    <mergeCell ref="F79:G79"/>
    <mergeCell ref="K47:L47"/>
    <mergeCell ref="K48:L48"/>
    <mergeCell ref="K49:L49"/>
    <mergeCell ref="F67:G67"/>
    <mergeCell ref="J67:K67"/>
    <mergeCell ref="E45:F45"/>
    <mergeCell ref="G45:H45"/>
    <mergeCell ref="F68:G68"/>
    <mergeCell ref="J53:K53"/>
    <mergeCell ref="G47:H47"/>
    <mergeCell ref="G48:H48"/>
    <mergeCell ref="J57:K57"/>
    <mergeCell ref="J52:L52"/>
    <mergeCell ref="I47:J47"/>
    <mergeCell ref="I48:J48"/>
    <mergeCell ref="J54:K54"/>
    <mergeCell ref="J55:K55"/>
    <mergeCell ref="F66:G66"/>
    <mergeCell ref="J66:K66"/>
    <mergeCell ref="J65:L65"/>
    <mergeCell ref="J50:L51"/>
    <mergeCell ref="N30:S30"/>
    <mergeCell ref="F81:G81"/>
    <mergeCell ref="H81:I81"/>
    <mergeCell ref="J81:K81"/>
    <mergeCell ref="F82:G82"/>
    <mergeCell ref="H82:I82"/>
    <mergeCell ref="J82:K82"/>
    <mergeCell ref="F83:G83"/>
    <mergeCell ref="H83:I83"/>
    <mergeCell ref="J83:K83"/>
    <mergeCell ref="M45:N45"/>
    <mergeCell ref="O45:P45"/>
    <mergeCell ref="M46:N46"/>
    <mergeCell ref="O46:P46"/>
    <mergeCell ref="M47:N47"/>
    <mergeCell ref="O47:P47"/>
    <mergeCell ref="M48:N48"/>
    <mergeCell ref="O48:P48"/>
    <mergeCell ref="M49:N49"/>
    <mergeCell ref="O49:P49"/>
    <mergeCell ref="F80:G80"/>
    <mergeCell ref="F74:G74"/>
    <mergeCell ref="F75:G75"/>
    <mergeCell ref="F76:G76"/>
  </mergeCells>
  <phoneticPr fontId="21"/>
  <conditionalFormatting sqref="C44:D44 E40:E43 G40:G43 E46:E50 G46:G50 I46:I50 K46:K49">
    <cfRule type="containsBlanks" dxfId="34" priority="47">
      <formula>LEN(TRIM(C40))=0</formula>
    </cfRule>
  </conditionalFormatting>
  <conditionalFormatting sqref="E34:E39">
    <cfRule type="containsBlanks" dxfId="33" priority="54">
      <formula>LEN(TRIM(E34))=0</formula>
    </cfRule>
  </conditionalFormatting>
  <conditionalFormatting sqref="E34">
    <cfRule type="beginsWith" dxfId="32" priority="44" operator="beginsWith" text=" Please">
      <formula>LEFT(E34,LEN(" Please"))=" Please"</formula>
    </cfRule>
  </conditionalFormatting>
  <conditionalFormatting sqref="G34">
    <cfRule type="containsBlanks" dxfId="31" priority="36">
      <formula>LEN(TRIM(G34))=0</formula>
    </cfRule>
    <cfRule type="beginsWith" dxfId="30" priority="43" operator="beginsWith" text="e in">
      <formula>LEFT(G34,LEN("e in"))="e in"</formula>
    </cfRule>
  </conditionalFormatting>
  <conditionalFormatting sqref="G32">
    <cfRule type="containsBlanks" dxfId="29" priority="41">
      <formula>LEN(TRIM(G32))=0</formula>
    </cfRule>
  </conditionalFormatting>
  <conditionalFormatting sqref="I32 K31:K32">
    <cfRule type="containsText" dxfId="28" priority="39" operator="containsText" text="Please">
      <formula>NOT(ISERROR(SEARCH("Please",I31)))</formula>
    </cfRule>
  </conditionalFormatting>
  <conditionalFormatting sqref="G35:G39">
    <cfRule type="containsBlanks" dxfId="27" priority="38">
      <formula>LEN(TRIM(G35))=0</formula>
    </cfRule>
  </conditionalFormatting>
  <conditionalFormatting sqref="G42">
    <cfRule type="containsBlanks" dxfId="26" priority="31">
      <formula>LEN(TRIM(G42))=0</formula>
    </cfRule>
  </conditionalFormatting>
  <conditionalFormatting sqref="I31">
    <cfRule type="containsText" dxfId="25" priority="27" operator="containsText" text="Please">
      <formula>NOT(ISERROR(SEARCH("Please",I31)))</formula>
    </cfRule>
  </conditionalFormatting>
  <conditionalFormatting sqref="E41">
    <cfRule type="containsBlanks" dxfId="24" priority="24">
      <formula>LEN(TRIM(E41))=0</formula>
    </cfRule>
  </conditionalFormatting>
  <conditionalFormatting sqref="E31">
    <cfRule type="containsBlanks" dxfId="23" priority="23">
      <formula>LEN(TRIM(E31))=0</formula>
    </cfRule>
  </conditionalFormatting>
  <conditionalFormatting sqref="E31">
    <cfRule type="containsBlanks" dxfId="22" priority="22">
      <formula>LEN(TRIM(E31))=0</formula>
    </cfRule>
  </conditionalFormatting>
  <conditionalFormatting sqref="E67">
    <cfRule type="containsBlanks" dxfId="21" priority="15">
      <formula>LEN(TRIM(E67))=0</formula>
    </cfRule>
  </conditionalFormatting>
  <conditionalFormatting sqref="L55">
    <cfRule type="containsBlanks" dxfId="20" priority="21">
      <formula>LEN(TRIM(L55))=0</formula>
    </cfRule>
  </conditionalFormatting>
  <conditionalFormatting sqref="L56">
    <cfRule type="containsBlanks" dxfId="19" priority="19">
      <formula>LEN(TRIM(L56))=0</formula>
    </cfRule>
  </conditionalFormatting>
  <conditionalFormatting sqref="L57">
    <cfRule type="containsBlanks" dxfId="18" priority="18">
      <formula>LEN(TRIM(L57))=0</formula>
    </cfRule>
  </conditionalFormatting>
  <conditionalFormatting sqref="L53">
    <cfRule type="containsBlanks" dxfId="17" priority="17">
      <formula>LEN(TRIM(L53))=0</formula>
    </cfRule>
  </conditionalFormatting>
  <conditionalFormatting sqref="E66">
    <cfRule type="containsBlanks" dxfId="16" priority="16">
      <formula>LEN(TRIM(E66))=0</formula>
    </cfRule>
  </conditionalFormatting>
  <conditionalFormatting sqref="E68">
    <cfRule type="containsBlanks" dxfId="15" priority="13">
      <formula>LEN(TRIM(E68))=0</formula>
    </cfRule>
  </conditionalFormatting>
  <conditionalFormatting sqref="E69">
    <cfRule type="containsBlanks" dxfId="14" priority="12">
      <formula>LEN(TRIM(E69))=0</formula>
    </cfRule>
  </conditionalFormatting>
  <conditionalFormatting sqref="G32">
    <cfRule type="cellIs" dxfId="13" priority="55" operator="between">
      <formula>$E$31</formula>
      <formula>$BF$30</formula>
    </cfRule>
    <cfRule type="cellIs" dxfId="12" priority="56" stopIfTrue="1" operator="between">
      <formula>0</formula>
      <formula>$E$31</formula>
    </cfRule>
    <cfRule type="cellIs" dxfId="11" priority="57" operator="greaterThan">
      <formula>$BF$30</formula>
    </cfRule>
  </conditionalFormatting>
  <conditionalFormatting sqref="N7:Q8">
    <cfRule type="notContainsBlanks" dxfId="10" priority="11">
      <formula>LEN(TRIM(N7))&gt;0</formula>
    </cfRule>
  </conditionalFormatting>
  <conditionalFormatting sqref="N6">
    <cfRule type="notContainsBlanks" dxfId="9" priority="61">
      <formula>LEN(TRIM(N6))&gt;0</formula>
    </cfRule>
  </conditionalFormatting>
  <conditionalFormatting sqref="N15">
    <cfRule type="notContainsBlanks" dxfId="8" priority="59">
      <formula>LEN(TRIM(N15))&gt;0</formula>
    </cfRule>
  </conditionalFormatting>
  <conditionalFormatting sqref="N16">
    <cfRule type="notContainsBlanks" dxfId="7" priority="60">
      <formula>LEN(TRIM(N16))&gt;0</formula>
    </cfRule>
  </conditionalFormatting>
  <conditionalFormatting sqref="L58">
    <cfRule type="containsBlanks" dxfId="6" priority="7">
      <formula>LEN(TRIM(L58))=0</formula>
    </cfRule>
  </conditionalFormatting>
  <conditionalFormatting sqref="L54">
    <cfRule type="containsBlanks" dxfId="5" priority="6">
      <formula>LEN(TRIM(L54))=0</formula>
    </cfRule>
  </conditionalFormatting>
  <conditionalFormatting sqref="L53:L54">
    <cfRule type="cellIs" dxfId="4" priority="5" operator="greaterThan">
      <formula>-1</formula>
    </cfRule>
  </conditionalFormatting>
  <conditionalFormatting sqref="J50:L51">
    <cfRule type="containsText" dxfId="3" priority="4" operator="containsText" text="This">
      <formula>NOT(ISERROR(SEARCH("This",J50)))</formula>
    </cfRule>
  </conditionalFormatting>
  <conditionalFormatting sqref="M46:M49">
    <cfRule type="containsBlanks" dxfId="2" priority="2">
      <formula>LEN(TRIM(M46))=0</formula>
    </cfRule>
  </conditionalFormatting>
  <conditionalFormatting sqref="O46:O49">
    <cfRule type="containsBlanks" dxfId="1" priority="1">
      <formula>LEN(TRIM(O46))=0</formula>
    </cfRule>
  </conditionalFormatting>
  <dataValidations count="2">
    <dataValidation type="list" allowBlank="1" sqref="K7" xr:uid="{00000000-0002-0000-0200-000000000000}">
      <formula1>Configs</formula1>
    </dataValidation>
    <dataValidation type="list" errorStyle="warning" showErrorMessage="1" error="This device does not support the selected configuration. Please select another device." sqref="K8:L8" xr:uid="{384E3FBA-DE7D-45B6-B544-F0F71B3B50E7}">
      <formula1>DropDownList</formula1>
    </dataValidation>
  </dataValidations>
  <hyperlinks>
    <hyperlink ref="N2" location="'Table of Contents'!B17" display="Table of Contents" xr:uid="{00000000-0004-0000-0200-000000000000}"/>
  </hyperlinks>
  <pageMargins left="0.7" right="0.7" top="0.75" bottom="0.75" header="0.3" footer="0.3"/>
  <pageSetup orientation="portrait" r:id="rId1"/>
  <drawing r:id="rId2"/>
  <legacyDrawing r:id="rId3"/>
  <tableParts count="1">
    <tablePart r:id="rId4"/>
  </tableParts>
  <extLst>
    <ext xmlns:x14="http://schemas.microsoft.com/office/spreadsheetml/2009/9/main" uri="{78C0D931-6437-407d-A8EE-F0AAD7539E65}">
      <x14:conditionalFormattings>
        <x14:conditionalFormatting xmlns:xm="http://schemas.microsoft.com/office/excel/2006/main">
          <x14:cfRule type="containsText" priority="3" operator="containsText" id="{6DD10C39-24F5-4862-A156-3A7EC5034D6F}">
            <xm:f>NOT(ISERROR(SEARCH("=",J55)))</xm:f>
            <xm:f>"="</xm:f>
            <x14:dxf>
              <font>
                <color rgb="FF9C0006"/>
              </font>
            </x14:dxf>
          </x14:cfRule>
          <xm:sqref>J55:K60</xm:sqref>
        </x14:conditionalFormatting>
      </x14:conditionalFormatting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3"/>
  <dimension ref="A1:CF307"/>
  <sheetViews>
    <sheetView zoomScale="85" zoomScaleNormal="85" workbookViewId="0">
      <pane xSplit="1" topLeftCell="B1" activePane="topRight" state="frozen"/>
      <selection pane="topRight" activeCell="AV24" sqref="AV24"/>
    </sheetView>
  </sheetViews>
  <sheetFormatPr defaultColWidth="8.73046875" defaultRowHeight="14.25"/>
  <cols>
    <col min="1" max="1" width="23.86328125" style="153" customWidth="1"/>
    <col min="2" max="2" width="24.73046875" style="153" customWidth="1"/>
    <col min="3" max="3" width="12.73046875" style="427" customWidth="1"/>
    <col min="4" max="4" width="13.59765625" style="153" bestFit="1" customWidth="1"/>
    <col min="5" max="5" width="14.265625" style="153" customWidth="1"/>
    <col min="6" max="6" width="13.265625" style="153" bestFit="1" customWidth="1"/>
    <col min="7" max="7" width="14" style="153" bestFit="1" customWidth="1"/>
    <col min="8" max="8" width="15" style="153" bestFit="1" customWidth="1"/>
    <col min="9" max="9" width="15.73046875" style="153" customWidth="1"/>
    <col min="10" max="10" width="14.73046875" style="153" bestFit="1" customWidth="1"/>
    <col min="11" max="11" width="15.3984375" style="153" bestFit="1" customWidth="1"/>
    <col min="12" max="12" width="7.3984375" style="153" bestFit="1" customWidth="1"/>
    <col min="13" max="13" width="8.1328125" style="153" bestFit="1" customWidth="1"/>
    <col min="14" max="14" width="11.86328125" style="153" bestFit="1" customWidth="1"/>
    <col min="15" max="15" width="12.59765625" style="153" bestFit="1" customWidth="1"/>
    <col min="16" max="16" width="20.1328125" style="153" bestFit="1" customWidth="1"/>
    <col min="17" max="17" width="20.1328125" style="427" customWidth="1"/>
    <col min="18" max="18" width="10" style="153" bestFit="1" customWidth="1"/>
    <col min="19" max="19" width="10.265625" style="153" bestFit="1" customWidth="1"/>
    <col min="20" max="20" width="17.59765625" style="153" customWidth="1"/>
    <col min="21" max="21" width="28.265625" style="153" customWidth="1"/>
    <col min="22" max="22" width="26.86328125" style="153" customWidth="1"/>
    <col min="23" max="23" width="12.3984375" style="153" customWidth="1"/>
    <col min="24" max="24" width="11.73046875" style="153" customWidth="1"/>
    <col min="25" max="25" width="9.59765625" style="153" hidden="1" customWidth="1"/>
    <col min="26" max="26" width="9.73046875" style="153" hidden="1" customWidth="1"/>
    <col min="27" max="27" width="13.53125" style="476" hidden="1" customWidth="1"/>
    <col min="28" max="28" width="10.3984375" style="153" hidden="1" customWidth="1"/>
    <col min="29" max="29" width="9.86328125" style="153" hidden="1" customWidth="1"/>
    <col min="30" max="30" width="5.3984375" style="153" hidden="1" customWidth="1"/>
    <col min="31" max="31" width="9.3984375" style="476" hidden="1" customWidth="1"/>
    <col min="32" max="32" width="6.1328125" style="153" hidden="1" customWidth="1"/>
    <col min="33" max="33" width="5.59765625" style="153" hidden="1" customWidth="1"/>
    <col min="34" max="34" width="23.265625" style="153" hidden="1" customWidth="1"/>
    <col min="35" max="35" width="23.265625" style="476" hidden="1" customWidth="1"/>
    <col min="36" max="36" width="23.265625" style="153" hidden="1" customWidth="1"/>
    <col min="37" max="37" width="14.3984375" style="153" hidden="1" customWidth="1"/>
    <col min="38" max="40" width="9.1328125" style="153" hidden="1" customWidth="1"/>
    <col min="41" max="41" width="12.73046875" style="153" hidden="1" customWidth="1"/>
    <col min="42" max="42" width="9.1328125" style="153" hidden="1" customWidth="1"/>
    <col min="43" max="81" width="8.73046875" style="153"/>
    <col min="82" max="82" width="22.1328125" style="153" bestFit="1" customWidth="1"/>
    <col min="83" max="83" width="107.59765625" style="153" customWidth="1"/>
    <col min="84" max="16384" width="8.73046875" style="153"/>
  </cols>
  <sheetData>
    <row r="1" spans="1:53" ht="15" customHeight="1">
      <c r="A1" s="800"/>
      <c r="B1" s="800"/>
      <c r="C1" s="800"/>
      <c r="D1" s="800"/>
      <c r="E1" s="800"/>
      <c r="F1" s="800"/>
      <c r="G1" s="800"/>
      <c r="H1" s="800"/>
      <c r="I1" s="800"/>
      <c r="J1" s="800"/>
      <c r="K1" s="800"/>
      <c r="L1" s="800"/>
      <c r="M1" s="800"/>
    </row>
    <row r="2" spans="1:53" ht="15" customHeight="1">
      <c r="A2" s="800"/>
      <c r="B2" s="800"/>
      <c r="C2" s="800"/>
      <c r="D2" s="800"/>
      <c r="E2" s="800"/>
      <c r="F2" s="800"/>
      <c r="G2" s="800"/>
      <c r="H2" s="800"/>
      <c r="I2" s="800"/>
      <c r="J2" s="800"/>
      <c r="K2" s="800"/>
      <c r="L2" s="800"/>
      <c r="M2" s="800"/>
    </row>
    <row r="3" spans="1:53" ht="15" customHeight="1">
      <c r="A3" s="800"/>
      <c r="B3" s="800"/>
      <c r="C3" s="800"/>
      <c r="D3" s="800"/>
      <c r="E3" s="800"/>
      <c r="F3" s="800"/>
      <c r="G3" s="800"/>
      <c r="H3" s="800"/>
      <c r="I3" s="800"/>
      <c r="J3" s="800"/>
      <c r="K3" s="800"/>
      <c r="L3" s="800"/>
      <c r="M3" s="800"/>
    </row>
    <row r="4" spans="1:53" ht="15" customHeight="1">
      <c r="A4" s="531"/>
      <c r="B4" s="531"/>
      <c r="C4" s="531"/>
      <c r="D4" s="531"/>
      <c r="E4" s="531"/>
      <c r="F4" s="531"/>
      <c r="G4" s="531"/>
      <c r="H4" s="531"/>
      <c r="I4" s="531"/>
      <c r="J4" s="531"/>
      <c r="K4" s="531"/>
      <c r="L4" s="531"/>
      <c r="M4" s="531"/>
      <c r="N4" s="531"/>
      <c r="O4" s="531"/>
      <c r="P4" s="531"/>
      <c r="Q4" s="531"/>
      <c r="R4" s="531"/>
      <c r="S4" s="531"/>
      <c r="T4" s="531"/>
      <c r="U4" s="531"/>
      <c r="V4" s="531"/>
      <c r="W4" s="531"/>
      <c r="X4" s="531"/>
      <c r="Y4" s="531"/>
      <c r="Z4" s="531"/>
      <c r="AA4" s="531"/>
      <c r="AB4" s="531"/>
      <c r="AC4" s="531"/>
      <c r="AD4" s="531"/>
      <c r="AE4" s="531"/>
      <c r="AF4" s="531"/>
      <c r="AG4" s="531"/>
      <c r="AH4" s="531"/>
      <c r="AI4" s="531"/>
      <c r="AJ4" s="531"/>
      <c r="AK4" s="531"/>
      <c r="AL4" s="531"/>
      <c r="AM4" s="531"/>
      <c r="AN4" s="531"/>
      <c r="AO4" s="531"/>
      <c r="AP4" s="531"/>
      <c r="AQ4" s="531"/>
      <c r="AR4" s="531"/>
      <c r="AS4" s="531"/>
      <c r="AT4" s="531"/>
      <c r="AU4" s="531"/>
      <c r="AV4" s="531"/>
      <c r="AW4" s="531"/>
      <c r="AX4" s="531"/>
      <c r="AY4" s="531"/>
      <c r="AZ4" s="531"/>
      <c r="BA4" s="531"/>
    </row>
    <row r="5" spans="1:53" ht="15" customHeight="1">
      <c r="B5" s="296" t="s">
        <v>212</v>
      </c>
      <c r="C5" s="296"/>
      <c r="D5" s="296"/>
      <c r="E5" s="296"/>
      <c r="F5" s="296"/>
      <c r="G5" s="296"/>
      <c r="H5" s="296"/>
      <c r="I5" s="296"/>
      <c r="J5" s="297"/>
      <c r="K5" s="297"/>
      <c r="L5" s="298"/>
      <c r="M5" s="297"/>
      <c r="P5" s="295" t="s">
        <v>8</v>
      </c>
      <c r="Q5" s="426"/>
      <c r="R5" s="295"/>
      <c r="S5" s="295"/>
    </row>
    <row r="6" spans="1:53" ht="15" customHeight="1">
      <c r="A6" s="299" t="s">
        <v>17</v>
      </c>
      <c r="B6" s="300" t="s">
        <v>50</v>
      </c>
      <c r="C6" s="300" t="s">
        <v>450</v>
      </c>
      <c r="D6" s="300" t="s">
        <v>22</v>
      </c>
      <c r="E6" s="300" t="s">
        <v>21</v>
      </c>
      <c r="F6" s="300" t="s">
        <v>25</v>
      </c>
      <c r="G6" s="300" t="s">
        <v>26</v>
      </c>
      <c r="H6" s="300" t="s">
        <v>27</v>
      </c>
      <c r="I6" s="300" t="s">
        <v>30</v>
      </c>
      <c r="J6" s="301" t="s">
        <v>31</v>
      </c>
      <c r="K6" s="301" t="s">
        <v>28</v>
      </c>
      <c r="L6" s="301" t="s">
        <v>29</v>
      </c>
      <c r="M6" s="301" t="s">
        <v>32</v>
      </c>
      <c r="N6" s="301" t="s">
        <v>33</v>
      </c>
      <c r="O6" s="301" t="s">
        <v>34</v>
      </c>
      <c r="P6" s="301" t="s">
        <v>37</v>
      </c>
      <c r="Q6" s="300" t="s">
        <v>451</v>
      </c>
      <c r="R6" s="300" t="s">
        <v>84</v>
      </c>
      <c r="S6" s="300" t="s">
        <v>85</v>
      </c>
      <c r="T6" s="301" t="s">
        <v>19</v>
      </c>
      <c r="U6" s="301" t="s">
        <v>35</v>
      </c>
      <c r="V6" s="300" t="s">
        <v>108</v>
      </c>
      <c r="W6" s="300" t="s">
        <v>110</v>
      </c>
      <c r="X6" s="302" t="s">
        <v>36</v>
      </c>
      <c r="Y6" s="303" t="s">
        <v>62</v>
      </c>
      <c r="Z6" s="303" t="s">
        <v>63</v>
      </c>
      <c r="AA6" s="303" t="s">
        <v>524</v>
      </c>
      <c r="AB6" s="303" t="s">
        <v>64</v>
      </c>
      <c r="AC6" s="303" t="s">
        <v>71</v>
      </c>
      <c r="AD6" s="303" t="s">
        <v>65</v>
      </c>
      <c r="AE6" s="303" t="s">
        <v>523</v>
      </c>
      <c r="AF6" s="303" t="s">
        <v>66</v>
      </c>
      <c r="AG6" s="303" t="s">
        <v>70</v>
      </c>
      <c r="AH6" s="303" t="s">
        <v>67</v>
      </c>
      <c r="AI6" s="303" t="s">
        <v>522</v>
      </c>
      <c r="AJ6" s="303" t="s">
        <v>68</v>
      </c>
      <c r="AK6" s="303" t="s">
        <v>69</v>
      </c>
    </row>
    <row r="7" spans="1:53" ht="15" hidden="1" customHeight="1">
      <c r="A7" s="304" t="s">
        <v>60</v>
      </c>
      <c r="B7" s="477">
        <v>0</v>
      </c>
      <c r="C7" s="429"/>
      <c r="D7" s="306">
        <v>0</v>
      </c>
      <c r="E7" s="306">
        <v>0</v>
      </c>
      <c r="F7" s="306">
        <v>0</v>
      </c>
      <c r="G7" s="306">
        <v>0</v>
      </c>
      <c r="H7" s="306">
        <v>0</v>
      </c>
      <c r="I7" s="306">
        <v>0</v>
      </c>
      <c r="J7" s="306">
        <v>0</v>
      </c>
      <c r="K7" s="306">
        <v>0</v>
      </c>
      <c r="L7" s="306">
        <v>0</v>
      </c>
      <c r="M7" s="306">
        <v>0</v>
      </c>
      <c r="N7" s="306">
        <v>0</v>
      </c>
      <c r="O7" s="306">
        <v>0</v>
      </c>
      <c r="P7" s="306">
        <v>0</v>
      </c>
      <c r="Q7" s="344"/>
      <c r="R7" s="319">
        <v>-100</v>
      </c>
      <c r="S7" s="319">
        <v>150</v>
      </c>
      <c r="T7" s="306" t="s">
        <v>140</v>
      </c>
      <c r="U7" s="307">
        <v>0</v>
      </c>
      <c r="V7" s="320">
        <v>0</v>
      </c>
      <c r="W7" s="323">
        <v>0</v>
      </c>
      <c r="X7" s="308">
        <v>0</v>
      </c>
      <c r="Y7" s="309">
        <f t="shared" ref="Y7:Y133" si="0">ROW()-6</f>
        <v>1</v>
      </c>
      <c r="Z7" s="309">
        <f>IF(OR($AN$18=Devices[[#This Row],[Input Type]], 0=Devices[[#This Row],[Input Type]]),Devices[[#This Row],[Row Num]], " ")</f>
        <v>1</v>
      </c>
      <c r="AA7" s="309">
        <f>IF(OR($AN$19=Devices[[#This Row],[Input Type]], 0=Devices[[#This Row],[Input Type]]),Devices[[#This Row],[Row Num]], " ")</f>
        <v>1</v>
      </c>
      <c r="AB7" s="309">
        <f>IF(OR($AN$20=Devices[[#This Row],[Input Type]], 0=Devices[[#This Row],[Input Type]]),Devices[[#This Row],[Row Num]], " ")</f>
        <v>1</v>
      </c>
      <c r="AC7" s="309">
        <f>IF(0=Devices[[#This Row],[Input Type]], Devices[[#This Row],[Row Num]], " ")</f>
        <v>1</v>
      </c>
      <c r="AD7" s="310">
        <f>IFERROR(SMALL(Devices[Row Sel D], Devices[[#This Row],[Row Num]]), " ")</f>
        <v>1</v>
      </c>
      <c r="AE7" s="310">
        <f>IFERROR(SMALL(Devices[Row Sel IntRdiv], Devices[[#This Row],[Row Num]]), " ")</f>
        <v>1</v>
      </c>
      <c r="AF7" s="310">
        <f>IFERROR(SMALL(Devices[Row Sel SE], Devices[[#This Row],[Row Num]]), " ")</f>
        <v>1</v>
      </c>
      <c r="AG7" s="310">
        <f>IFERROR(SMALL(Devices[Row Sel N], Devices[[#This Row],[Row Num]]), " ")</f>
        <v>1</v>
      </c>
      <c r="AH7" s="310" t="str">
        <f>IFERROR(INDEX(Devices[Part], Devices[[#This Row],[Sel D]], 1), "")</f>
        <v>[Select Device]</v>
      </c>
      <c r="AI7" s="310" t="str">
        <f>IFERROR(INDEX(Devices[Part], Devices[[#This Row],[Sel IntRdiv]], 1), "")</f>
        <v>[Select Device]</v>
      </c>
      <c r="AJ7" s="310" t="str">
        <f>IFERROR(INDEX(Devices[Part], Devices[[#This Row],[Sel SE]], 1), "")</f>
        <v>[Select Device]</v>
      </c>
      <c r="AK7" s="310" t="str">
        <f>IFERROR(INDEX(Devices[Part], Devices[[#This Row],[Sel N]], 1), "")</f>
        <v>[Select Device]</v>
      </c>
    </row>
    <row r="8" spans="1:53" s="470" customFormat="1" ht="15" customHeight="1">
      <c r="A8" s="349" t="s">
        <v>471</v>
      </c>
      <c r="B8" s="331" t="s">
        <v>51</v>
      </c>
      <c r="C8" s="429" t="s">
        <v>455</v>
      </c>
      <c r="D8" s="314">
        <v>4.0000000000000002E-4</v>
      </c>
      <c r="E8" s="314">
        <v>2.5000000000000001E-3</v>
      </c>
      <c r="F8" s="315">
        <v>5</v>
      </c>
      <c r="G8" s="315">
        <v>35</v>
      </c>
      <c r="H8" s="479">
        <v>0.01</v>
      </c>
      <c r="I8" s="479">
        <v>0.2</v>
      </c>
      <c r="J8" s="317">
        <v>0.25</v>
      </c>
      <c r="K8" s="317">
        <v>3</v>
      </c>
      <c r="L8" s="314">
        <v>1.2999999999999999E-4</v>
      </c>
      <c r="M8" s="314">
        <v>4.0000000000000001E-3</v>
      </c>
      <c r="N8" s="315">
        <v>1</v>
      </c>
      <c r="O8" s="315">
        <v>3</v>
      </c>
      <c r="P8" s="344">
        <v>250</v>
      </c>
      <c r="Q8" s="480">
        <v>3.3</v>
      </c>
      <c r="R8" s="345">
        <v>-40</v>
      </c>
      <c r="S8" s="345">
        <v>125</v>
      </c>
      <c r="T8" s="321"/>
      <c r="U8" s="321">
        <v>27500</v>
      </c>
      <c r="V8" s="346">
        <v>27500</v>
      </c>
      <c r="W8" s="804">
        <v>13.2</v>
      </c>
      <c r="X8" s="379">
        <v>0</v>
      </c>
      <c r="Y8" s="310">
        <f t="shared" ref="Y8:Y23" si="1">ROW()-6</f>
        <v>2</v>
      </c>
      <c r="Z8" s="310">
        <f>IF(OR($AN$18=Devices[[#This Row],[Input Type]], 0=Devices[[#This Row],[Input Type]]),Devices[[#This Row],[Row Num]], " ")</f>
        <v>2</v>
      </c>
      <c r="AA8" s="310" t="str">
        <f>IF(OR($AN$19=Devices[[#This Row],[Input Type]], 0=Devices[[#This Row],[Input Type]]),Devices[[#This Row],[Row Num]], " ")</f>
        <v xml:space="preserve"> </v>
      </c>
      <c r="AB8" s="310" t="str">
        <f>IF(OR($AN$20=Devices[[#This Row],[Input Type]], 0=Devices[[#This Row],[Input Type]]),Devices[[#This Row],[Row Num]], " ")</f>
        <v xml:space="preserve"> </v>
      </c>
      <c r="AC8" s="310" t="str">
        <f>IF(0=Devices[[#This Row],[Input Type]], Devices[[#This Row],[Row Num]], " ")</f>
        <v xml:space="preserve"> </v>
      </c>
      <c r="AD8" s="310">
        <f>IFERROR(SMALL(Devices[Row Sel D], Devices[[#This Row],[Row Num]]), " ")</f>
        <v>2</v>
      </c>
      <c r="AE8" s="310">
        <f>IFERROR(SMALL(Devices[Row Sel IntRdiv], Devices[[#This Row],[Row Num]]), " ")</f>
        <v>86</v>
      </c>
      <c r="AF8" s="310">
        <f>IFERROR(SMALL(Devices[Row Sel SE], Devices[[#This Row],[Row Num]]), " ")</f>
        <v>16</v>
      </c>
      <c r="AG8" s="310">
        <f>IFERROR(SMALL(Devices[Row Sel N], Devices[[#This Row],[Row Num]]), " ")</f>
        <v>90</v>
      </c>
      <c r="AH8" s="310" t="str">
        <f>IFERROR(INDEX(Devices[Part], Devices[[#This Row],[Sel D]], 1), "")</f>
        <v>AMC0100R (Vref = 3.3V)</v>
      </c>
      <c r="AI8" s="310" t="str">
        <f>IFERROR(INDEX(Devices[Part], Devices[[#This Row],[Sel IntRdiv]], 1), "")</f>
        <v>AMC0380Dxx</v>
      </c>
      <c r="AJ8" s="310" t="str">
        <f>IFERROR(INDEX(Devices[Part], Devices[[#This Row],[Sel SE]], 1), "")</f>
        <v>AMC0211D</v>
      </c>
      <c r="AK8" s="310">
        <f>IFERROR(INDEX(Devices[Part], Devices[[#This Row],[Sel N]], 1), "")</f>
        <v>0</v>
      </c>
      <c r="AN8" s="311" t="s">
        <v>520</v>
      </c>
    </row>
    <row r="9" spans="1:53" s="470" customFormat="1" ht="15" customHeight="1">
      <c r="A9" s="349" t="s">
        <v>472</v>
      </c>
      <c r="B9" s="331" t="s">
        <v>51</v>
      </c>
      <c r="C9" s="429" t="s">
        <v>455</v>
      </c>
      <c r="D9" s="314">
        <v>4.0000000000000002E-4</v>
      </c>
      <c r="E9" s="314">
        <v>2.5000000000000001E-3</v>
      </c>
      <c r="F9" s="315">
        <v>5</v>
      </c>
      <c r="G9" s="315">
        <v>35</v>
      </c>
      <c r="H9" s="479">
        <v>0.01</v>
      </c>
      <c r="I9" s="479">
        <v>0.2</v>
      </c>
      <c r="J9" s="317">
        <v>0.25</v>
      </c>
      <c r="K9" s="317">
        <v>3</v>
      </c>
      <c r="L9" s="314">
        <v>1.2999999999999999E-4</v>
      </c>
      <c r="M9" s="314">
        <v>4.0000000000000001E-3</v>
      </c>
      <c r="N9" s="315">
        <v>1</v>
      </c>
      <c r="O9" s="315">
        <v>3</v>
      </c>
      <c r="P9" s="344">
        <v>250</v>
      </c>
      <c r="Q9" s="480">
        <v>5</v>
      </c>
      <c r="R9" s="345">
        <v>-40</v>
      </c>
      <c r="S9" s="345">
        <v>125</v>
      </c>
      <c r="T9" s="321"/>
      <c r="U9" s="321">
        <v>27500</v>
      </c>
      <c r="V9" s="346">
        <v>27500</v>
      </c>
      <c r="W9" s="804">
        <v>20</v>
      </c>
      <c r="X9" s="379">
        <v>0</v>
      </c>
      <c r="Y9" s="310">
        <f t="shared" si="1"/>
        <v>3</v>
      </c>
      <c r="Z9" s="310">
        <f>IF(OR($AN$18=Devices[[#This Row],[Input Type]], 0=Devices[[#This Row],[Input Type]]),Devices[[#This Row],[Row Num]], " ")</f>
        <v>3</v>
      </c>
      <c r="AA9" s="310" t="str">
        <f>IF(OR($AN$19=Devices[[#This Row],[Input Type]], 0=Devices[[#This Row],[Input Type]]),Devices[[#This Row],[Row Num]], " ")</f>
        <v xml:space="preserve"> </v>
      </c>
      <c r="AB9" s="310" t="str">
        <f>IF(OR($AN$20=Devices[[#This Row],[Input Type]], 0=Devices[[#This Row],[Input Type]]),Devices[[#This Row],[Row Num]], " ")</f>
        <v xml:space="preserve"> </v>
      </c>
      <c r="AC9" s="310" t="str">
        <f>IF(0=Devices[[#This Row],[Input Type]], Devices[[#This Row],[Row Num]], " ")</f>
        <v xml:space="preserve"> </v>
      </c>
      <c r="AD9" s="310">
        <f>IFERROR(SMALL(Devices[Row Sel D], Devices[[#This Row],[Row Num]]), " ")</f>
        <v>3</v>
      </c>
      <c r="AE9" s="310">
        <f>IFERROR(SMALL(Devices[Row Sel IntRdiv], Devices[[#This Row],[Row Num]]), " ")</f>
        <v>87</v>
      </c>
      <c r="AF9" s="310">
        <f>IFERROR(SMALL(Devices[Row Sel SE], Devices[[#This Row],[Row Num]]), " ")</f>
        <v>17</v>
      </c>
      <c r="AG9" s="310">
        <f>IFERROR(SMALL(Devices[Row Sel N], Devices[[#This Row],[Row Num]]), " ")</f>
        <v>91</v>
      </c>
      <c r="AH9" s="310" t="str">
        <f>IFERROR(INDEX(Devices[Part], Devices[[#This Row],[Sel D]], 1), "")</f>
        <v>AMC0100R (Vref = 5V)</v>
      </c>
      <c r="AI9" s="310" t="str">
        <f>IFERROR(INDEX(Devices[Part], Devices[[#This Row],[Sel IntRdiv]], 1), "")</f>
        <v>AMC0380Dxx-Q1</v>
      </c>
      <c r="AJ9" s="310" t="str">
        <f>IFERROR(INDEX(Devices[Part], Devices[[#This Row],[Sel SE]], 1), "")</f>
        <v>AMC0211D-Q1</v>
      </c>
      <c r="AK9" s="310">
        <f>IFERROR(INDEX(Devices[Part], Devices[[#This Row],[Sel N]], 1), "")</f>
        <v>0</v>
      </c>
      <c r="AN9" s="470" t="str">
        <f>IF('Voltage Sensing Calculator'!K7="Single-Ended",'Device Comparison'!$AJ$8:$AJ$30,IF(OR('Voltage Sensing Calculator'!K7="Differential without R3'",'Voltage Sensing Calculator'!K7="Differential with R3'"),'Device Comparison'!$AH$8:$AH$68,IF('Voltage Sensing Calculator'!K7="Integrated Resistor Divider",'Device Comparison'!AI8:AI11,'Device Comparison'!$AK$7)))</f>
        <v>[Select Device]</v>
      </c>
    </row>
    <row r="10" spans="1:53" s="470" customFormat="1" ht="15" customHeight="1">
      <c r="A10" s="349" t="s">
        <v>473</v>
      </c>
      <c r="B10" s="331" t="s">
        <v>51</v>
      </c>
      <c r="C10" s="429" t="s">
        <v>51</v>
      </c>
      <c r="D10" s="314">
        <v>4.0000000000000002E-4</v>
      </c>
      <c r="E10" s="314">
        <v>2.5000000000000001E-3</v>
      </c>
      <c r="F10" s="315">
        <v>5</v>
      </c>
      <c r="G10" s="315">
        <v>35</v>
      </c>
      <c r="H10" s="479">
        <v>0.01</v>
      </c>
      <c r="I10" s="479">
        <v>0.2</v>
      </c>
      <c r="J10" s="317">
        <v>0.25</v>
      </c>
      <c r="K10" s="317">
        <v>2</v>
      </c>
      <c r="L10" s="314">
        <v>1.2999999999999999E-4</v>
      </c>
      <c r="M10" s="314">
        <v>4.0000000000000002E-4</v>
      </c>
      <c r="N10" s="315">
        <v>1</v>
      </c>
      <c r="O10" s="315">
        <v>3</v>
      </c>
      <c r="P10" s="344">
        <v>250</v>
      </c>
      <c r="Q10" s="480">
        <v>2.0499999999999998</v>
      </c>
      <c r="R10" s="345">
        <v>-40</v>
      </c>
      <c r="S10" s="345">
        <v>125</v>
      </c>
      <c r="T10" s="321"/>
      <c r="U10" s="321">
        <v>27500</v>
      </c>
      <c r="V10" s="346">
        <v>27500</v>
      </c>
      <c r="W10" s="804">
        <v>8.1999999999999993</v>
      </c>
      <c r="X10" s="379">
        <v>0</v>
      </c>
      <c r="Y10" s="310">
        <f t="shared" si="1"/>
        <v>4</v>
      </c>
      <c r="Z10" s="310">
        <f>IF(OR($AN$18=Devices[[#This Row],[Input Type]], 0=Devices[[#This Row],[Input Type]]),Devices[[#This Row],[Row Num]], " ")</f>
        <v>4</v>
      </c>
      <c r="AA10" s="310" t="str">
        <f>IF(OR($AN$19=Devices[[#This Row],[Input Type]], 0=Devices[[#This Row],[Input Type]]),Devices[[#This Row],[Row Num]], " ")</f>
        <v xml:space="preserve"> </v>
      </c>
      <c r="AB10" s="310" t="str">
        <f>IF(OR($AN$20=Devices[[#This Row],[Input Type]], 0=Devices[[#This Row],[Input Type]]),Devices[[#This Row],[Row Num]], " ")</f>
        <v xml:space="preserve"> </v>
      </c>
      <c r="AC10" s="310" t="str">
        <f>IF(0=Devices[[#This Row],[Input Type]], Devices[[#This Row],[Row Num]], " ")</f>
        <v xml:space="preserve"> </v>
      </c>
      <c r="AD10" s="310">
        <f>IFERROR(SMALL(Devices[Row Sel D], Devices[[#This Row],[Row Num]]), " ")</f>
        <v>4</v>
      </c>
      <c r="AE10" s="310">
        <f>IFERROR(SMALL(Devices[Row Sel IntRdiv], Devices[[#This Row],[Row Num]]), " ")</f>
        <v>88</v>
      </c>
      <c r="AF10" s="310">
        <f>IFERROR(SMALL(Devices[Row Sel SE], Devices[[#This Row],[Row Num]]), " ")</f>
        <v>18</v>
      </c>
      <c r="AG10" s="310">
        <f>IFERROR(SMALL(Devices[Row Sel N], Devices[[#This Row],[Row Num]]), " ")</f>
        <v>92</v>
      </c>
      <c r="AH10" s="310" t="str">
        <f>IFERROR(INDEX(Devices[Part], Devices[[#This Row],[Sel D]], 1), "")</f>
        <v>AMC0200D</v>
      </c>
      <c r="AI10" s="310" t="str">
        <f>IFERROR(INDEX(Devices[Part], Devices[[#This Row],[Sel IntRdiv]], 1), "")</f>
        <v>AMC0381Dxx</v>
      </c>
      <c r="AJ10" s="310" t="str">
        <f>IFERROR(INDEX(Devices[Part], Devices[[#This Row],[Sel SE]], 1), "")</f>
        <v>AMC0211R-Q1 (Vref = 3.3V)</v>
      </c>
      <c r="AK10" s="310">
        <f>IFERROR(INDEX(Devices[Part], Devices[[#This Row],[Sel N]], 1), "")</f>
        <v>0</v>
      </c>
      <c r="AM10" s="311"/>
    </row>
    <row r="11" spans="1:53" s="470" customFormat="1" ht="15" customHeight="1">
      <c r="A11" s="349" t="s">
        <v>474</v>
      </c>
      <c r="B11" s="331" t="s">
        <v>51</v>
      </c>
      <c r="C11" s="429" t="s">
        <v>51</v>
      </c>
      <c r="D11" s="314">
        <v>4.0000000000000002E-4</v>
      </c>
      <c r="E11" s="314">
        <v>2.5000000000000001E-3</v>
      </c>
      <c r="F11" s="315">
        <v>5</v>
      </c>
      <c r="G11" s="315">
        <v>35</v>
      </c>
      <c r="H11" s="479">
        <v>0.01</v>
      </c>
      <c r="I11" s="479">
        <v>0.2</v>
      </c>
      <c r="J11" s="317">
        <v>0.25</v>
      </c>
      <c r="K11" s="317">
        <v>2</v>
      </c>
      <c r="L11" s="314">
        <v>1.2999999999999999E-4</v>
      </c>
      <c r="M11" s="314">
        <v>4.0000000000000002E-4</v>
      </c>
      <c r="N11" s="315">
        <v>1</v>
      </c>
      <c r="O11" s="315">
        <v>3</v>
      </c>
      <c r="P11" s="344">
        <v>250</v>
      </c>
      <c r="Q11" s="363">
        <v>2.0499999999999998</v>
      </c>
      <c r="R11" s="345">
        <v>-40</v>
      </c>
      <c r="S11" s="345">
        <v>125</v>
      </c>
      <c r="T11" s="321"/>
      <c r="U11" s="321">
        <v>27500</v>
      </c>
      <c r="V11" s="346">
        <v>27500</v>
      </c>
      <c r="W11" s="804">
        <v>8.1999999999999993</v>
      </c>
      <c r="X11" s="379">
        <v>0</v>
      </c>
      <c r="Y11" s="310">
        <f t="shared" si="1"/>
        <v>5</v>
      </c>
      <c r="Z11" s="310">
        <f>IF(OR($AN$18=Devices[[#This Row],[Input Type]], 0=Devices[[#This Row],[Input Type]]),Devices[[#This Row],[Row Num]], " ")</f>
        <v>5</v>
      </c>
      <c r="AA11" s="310" t="str">
        <f>IF(OR($AN$19=Devices[[#This Row],[Input Type]], 0=Devices[[#This Row],[Input Type]]),Devices[[#This Row],[Row Num]], " ")</f>
        <v xml:space="preserve"> </v>
      </c>
      <c r="AB11" s="310" t="str">
        <f>IF(OR($AN$20=Devices[[#This Row],[Input Type]], 0=Devices[[#This Row],[Input Type]]),Devices[[#This Row],[Row Num]], " ")</f>
        <v xml:space="preserve"> </v>
      </c>
      <c r="AC11" s="310" t="str">
        <f>IF(0=Devices[[#This Row],[Input Type]], Devices[[#This Row],[Row Num]], " ")</f>
        <v xml:space="preserve"> </v>
      </c>
      <c r="AD11" s="310">
        <f>IFERROR(SMALL(Devices[Row Sel D], Devices[[#This Row],[Row Num]]), " ")</f>
        <v>5</v>
      </c>
      <c r="AE11" s="310">
        <f>IFERROR(SMALL(Devices[Row Sel IntRdiv], Devices[[#This Row],[Row Num]]), " ")</f>
        <v>89</v>
      </c>
      <c r="AF11" s="310">
        <f>IFERROR(SMALL(Devices[Row Sel SE], Devices[[#This Row],[Row Num]]), " ")</f>
        <v>19</v>
      </c>
      <c r="AG11" s="310">
        <f>IFERROR(SMALL(Devices[Row Sel N], Devices[[#This Row],[Row Num]]), " ")</f>
        <v>93</v>
      </c>
      <c r="AH11" s="310" t="str">
        <f>IFERROR(INDEX(Devices[Part], Devices[[#This Row],[Sel D]], 1), "")</f>
        <v>AMC0200D-Q1</v>
      </c>
      <c r="AI11" s="310" t="str">
        <f>IFERROR(INDEX(Devices[Part], Devices[[#This Row],[Sel IntRdiv]], 1), "")</f>
        <v>AMC0381Dxx-Q1</v>
      </c>
      <c r="AJ11" s="310" t="str">
        <f>IFERROR(INDEX(Devices[Part], Devices[[#This Row],[Sel SE]], 1), "")</f>
        <v>AMC0211R-Q1 (Vref = 5V)</v>
      </c>
      <c r="AK11" s="310">
        <f>IFERROR(INDEX(Devices[Part], Devices[[#This Row],[Sel N]], 1), "")</f>
        <v>0</v>
      </c>
      <c r="AM11" s="311"/>
    </row>
    <row r="12" spans="1:53" s="470" customFormat="1" ht="15" customHeight="1">
      <c r="A12" s="349" t="s">
        <v>475</v>
      </c>
      <c r="B12" s="331" t="s">
        <v>51</v>
      </c>
      <c r="C12" s="429" t="s">
        <v>455</v>
      </c>
      <c r="D12" s="314">
        <v>4.0000000000000002E-4</v>
      </c>
      <c r="E12" s="314">
        <v>2.5000000000000001E-3</v>
      </c>
      <c r="F12" s="315">
        <v>5</v>
      </c>
      <c r="G12" s="315">
        <v>35</v>
      </c>
      <c r="H12" s="479">
        <v>0.01</v>
      </c>
      <c r="I12" s="479">
        <v>0.2</v>
      </c>
      <c r="J12" s="317">
        <v>0.25</v>
      </c>
      <c r="K12" s="317">
        <v>3</v>
      </c>
      <c r="L12" s="314">
        <v>1.2999999999999999E-4</v>
      </c>
      <c r="M12" s="314">
        <v>4.0000000000000001E-3</v>
      </c>
      <c r="N12" s="315">
        <v>1</v>
      </c>
      <c r="O12" s="315">
        <v>3</v>
      </c>
      <c r="P12" s="344">
        <v>250</v>
      </c>
      <c r="Q12" s="363">
        <v>3.3</v>
      </c>
      <c r="R12" s="345">
        <v>-40</v>
      </c>
      <c r="S12" s="345">
        <v>125</v>
      </c>
      <c r="T12" s="321"/>
      <c r="U12" s="321">
        <v>27500</v>
      </c>
      <c r="V12" s="346">
        <v>27500</v>
      </c>
      <c r="W12" s="804">
        <v>13.2</v>
      </c>
      <c r="X12" s="379">
        <v>0</v>
      </c>
      <c r="Y12" s="310">
        <f t="shared" si="1"/>
        <v>6</v>
      </c>
      <c r="Z12" s="310">
        <f>IF(OR($AN$18=Devices[[#This Row],[Input Type]], 0=Devices[[#This Row],[Input Type]]),Devices[[#This Row],[Row Num]], " ")</f>
        <v>6</v>
      </c>
      <c r="AA12" s="310" t="str">
        <f>IF(OR($AN$19=Devices[[#This Row],[Input Type]], 0=Devices[[#This Row],[Input Type]]),Devices[[#This Row],[Row Num]], " ")</f>
        <v xml:space="preserve"> </v>
      </c>
      <c r="AB12" s="310" t="str">
        <f>IF(OR($AN$20=Devices[[#This Row],[Input Type]], 0=Devices[[#This Row],[Input Type]]),Devices[[#This Row],[Row Num]], " ")</f>
        <v xml:space="preserve"> </v>
      </c>
      <c r="AC12" s="310" t="str">
        <f>IF(0=Devices[[#This Row],[Input Type]], Devices[[#This Row],[Row Num]], " ")</f>
        <v xml:space="preserve"> </v>
      </c>
      <c r="AD12" s="310">
        <f>IFERROR(SMALL(Devices[Row Sel D], Devices[[#This Row],[Row Num]]), " ")</f>
        <v>6</v>
      </c>
      <c r="AE12" s="310">
        <f>IFERROR(SMALL(Devices[Row Sel IntRdiv], Devices[[#This Row],[Row Num]]), " ")</f>
        <v>90</v>
      </c>
      <c r="AF12" s="310">
        <f>IFERROR(SMALL(Devices[Row Sel SE], Devices[[#This Row],[Row Num]]), " ")</f>
        <v>20</v>
      </c>
      <c r="AG12" s="310">
        <f>IFERROR(SMALL(Devices[Row Sel N], Devices[[#This Row],[Row Num]]), " ")</f>
        <v>94</v>
      </c>
      <c r="AH12" s="310" t="str">
        <f>IFERROR(INDEX(Devices[Part], Devices[[#This Row],[Sel D]], 1), "")</f>
        <v>AMC0200R (Vref = 3.3V)</v>
      </c>
      <c r="AI12" s="310">
        <f>IFERROR(INDEX(Devices[Part], Devices[[#This Row],[Sel IntRdiv]], 1), "")</f>
        <v>0</v>
      </c>
      <c r="AJ12" s="310" t="str">
        <f>IFERROR(INDEX(Devices[Part], Devices[[#This Row],[Sel SE]], 1), "")</f>
        <v>AMC0211S</v>
      </c>
      <c r="AK12" s="310">
        <f>IFERROR(INDEX(Devices[Part], Devices[[#This Row],[Sel N]], 1), "")</f>
        <v>0</v>
      </c>
      <c r="AM12" s="311"/>
      <c r="AO12" s="470">
        <f>IF('Voltage Sensing Calculator'!K7="Integrated Resistor Divider",'Device Comparison'!AI7:AI17,2)</f>
        <v>2</v>
      </c>
    </row>
    <row r="13" spans="1:53" s="470" customFormat="1" ht="15" customHeight="1">
      <c r="A13" s="349" t="s">
        <v>476</v>
      </c>
      <c r="B13" s="331" t="s">
        <v>51</v>
      </c>
      <c r="C13" s="429" t="s">
        <v>455</v>
      </c>
      <c r="D13" s="314">
        <v>4.0000000000000002E-4</v>
      </c>
      <c r="E13" s="314">
        <v>2.5000000000000001E-3</v>
      </c>
      <c r="F13" s="315">
        <v>5</v>
      </c>
      <c r="G13" s="315">
        <v>35</v>
      </c>
      <c r="H13" s="479">
        <v>0.01</v>
      </c>
      <c r="I13" s="479">
        <v>0.2</v>
      </c>
      <c r="J13" s="317">
        <v>0.25</v>
      </c>
      <c r="K13" s="317">
        <v>3</v>
      </c>
      <c r="L13" s="314">
        <v>1.2999999999999999E-4</v>
      </c>
      <c r="M13" s="314">
        <v>4.0000000000000001E-3</v>
      </c>
      <c r="N13" s="315">
        <v>1</v>
      </c>
      <c r="O13" s="315">
        <v>3</v>
      </c>
      <c r="P13" s="344">
        <v>250</v>
      </c>
      <c r="Q13" s="480">
        <v>5</v>
      </c>
      <c r="R13" s="345">
        <v>-40</v>
      </c>
      <c r="S13" s="345">
        <v>125</v>
      </c>
      <c r="T13" s="321"/>
      <c r="U13" s="321">
        <v>27500</v>
      </c>
      <c r="V13" s="346">
        <v>27500</v>
      </c>
      <c r="W13" s="804">
        <v>20</v>
      </c>
      <c r="X13" s="379">
        <v>0</v>
      </c>
      <c r="Y13" s="310">
        <f t="shared" si="1"/>
        <v>7</v>
      </c>
      <c r="Z13" s="310">
        <f>IF(OR($AN$18=Devices[[#This Row],[Input Type]], 0=Devices[[#This Row],[Input Type]]),Devices[[#This Row],[Row Num]], " ")</f>
        <v>7</v>
      </c>
      <c r="AA13" s="310" t="str">
        <f>IF(OR($AN$19=Devices[[#This Row],[Input Type]], 0=Devices[[#This Row],[Input Type]]),Devices[[#This Row],[Row Num]], " ")</f>
        <v xml:space="preserve"> </v>
      </c>
      <c r="AB13" s="310" t="str">
        <f>IF(OR($AN$20=Devices[[#This Row],[Input Type]], 0=Devices[[#This Row],[Input Type]]),Devices[[#This Row],[Row Num]], " ")</f>
        <v xml:space="preserve"> </v>
      </c>
      <c r="AC13" s="310" t="str">
        <f>IF(0=Devices[[#This Row],[Input Type]], Devices[[#This Row],[Row Num]], " ")</f>
        <v xml:space="preserve"> </v>
      </c>
      <c r="AD13" s="310">
        <f>IFERROR(SMALL(Devices[Row Sel D], Devices[[#This Row],[Row Num]]), " ")</f>
        <v>7</v>
      </c>
      <c r="AE13" s="310">
        <f>IFERROR(SMALL(Devices[Row Sel IntRdiv], Devices[[#This Row],[Row Num]]), " ")</f>
        <v>91</v>
      </c>
      <c r="AF13" s="310">
        <f>IFERROR(SMALL(Devices[Row Sel SE], Devices[[#This Row],[Row Num]]), " ")</f>
        <v>21</v>
      </c>
      <c r="AG13" s="310">
        <f>IFERROR(SMALL(Devices[Row Sel N], Devices[[#This Row],[Row Num]]), " ")</f>
        <v>95</v>
      </c>
      <c r="AH13" s="310" t="str">
        <f>IFERROR(INDEX(Devices[Part], Devices[[#This Row],[Sel D]], 1), "")</f>
        <v>AMC0200R (Vref = 5V)</v>
      </c>
      <c r="AI13" s="310">
        <f>IFERROR(INDEX(Devices[Part], Devices[[#This Row],[Sel IntRdiv]], 1), "")</f>
        <v>0</v>
      </c>
      <c r="AJ13" s="310" t="str">
        <f>IFERROR(INDEX(Devices[Part], Devices[[#This Row],[Sel SE]], 1), "")</f>
        <v>AMC0211S-Q1</v>
      </c>
      <c r="AK13" s="310">
        <f>IFERROR(INDEX(Devices[Part], Devices[[#This Row],[Sel N]], 1), "")</f>
        <v>0</v>
      </c>
      <c r="AM13" s="311"/>
    </row>
    <row r="14" spans="1:53" s="470" customFormat="1" ht="15" customHeight="1">
      <c r="A14" s="349" t="s">
        <v>477</v>
      </c>
      <c r="B14" s="331" t="s">
        <v>51</v>
      </c>
      <c r="C14" s="429" t="s">
        <v>455</v>
      </c>
      <c r="D14" s="314">
        <v>4.0000000000000002E-4</v>
      </c>
      <c r="E14" s="314">
        <v>2.5000000000000001E-3</v>
      </c>
      <c r="F14" s="315">
        <v>5</v>
      </c>
      <c r="G14" s="315">
        <v>35</v>
      </c>
      <c r="H14" s="479">
        <v>0.01</v>
      </c>
      <c r="I14" s="479">
        <v>0.2</v>
      </c>
      <c r="J14" s="317">
        <v>0.25</v>
      </c>
      <c r="K14" s="317">
        <v>3</v>
      </c>
      <c r="L14" s="314">
        <v>1.2999999999999999E-4</v>
      </c>
      <c r="M14" s="314">
        <v>4.0000000000000001E-3</v>
      </c>
      <c r="N14" s="315">
        <v>1</v>
      </c>
      <c r="O14" s="315">
        <v>3</v>
      </c>
      <c r="P14" s="344">
        <v>250</v>
      </c>
      <c r="Q14" s="480">
        <v>3.3</v>
      </c>
      <c r="R14" s="345">
        <v>-40</v>
      </c>
      <c r="S14" s="345">
        <v>125</v>
      </c>
      <c r="T14" s="321"/>
      <c r="U14" s="321">
        <v>27500</v>
      </c>
      <c r="V14" s="346">
        <v>27500</v>
      </c>
      <c r="W14" s="804">
        <v>13.2</v>
      </c>
      <c r="X14" s="379">
        <v>0</v>
      </c>
      <c r="Y14" s="310">
        <f t="shared" si="1"/>
        <v>8</v>
      </c>
      <c r="Z14" s="310">
        <f>IF(OR($AN$18=Devices[[#This Row],[Input Type]], 0=Devices[[#This Row],[Input Type]]),Devices[[#This Row],[Row Num]], " ")</f>
        <v>8</v>
      </c>
      <c r="AA14" s="310" t="str">
        <f>IF(OR($AN$19=Devices[[#This Row],[Input Type]], 0=Devices[[#This Row],[Input Type]]),Devices[[#This Row],[Row Num]], " ")</f>
        <v xml:space="preserve"> </v>
      </c>
      <c r="AB14" s="310" t="str">
        <f>IF(OR($AN$20=Devices[[#This Row],[Input Type]], 0=Devices[[#This Row],[Input Type]]),Devices[[#This Row],[Row Num]], " ")</f>
        <v xml:space="preserve"> </v>
      </c>
      <c r="AC14" s="310" t="str">
        <f>IF(0=Devices[[#This Row],[Input Type]], Devices[[#This Row],[Row Num]], " ")</f>
        <v xml:space="preserve"> </v>
      </c>
      <c r="AD14" s="310">
        <f>IFERROR(SMALL(Devices[Row Sel D], Devices[[#This Row],[Row Num]]), " ")</f>
        <v>8</v>
      </c>
      <c r="AE14" s="310">
        <f>IFERROR(SMALL(Devices[Row Sel IntRdiv], Devices[[#This Row],[Row Num]]), " ")</f>
        <v>92</v>
      </c>
      <c r="AF14" s="310">
        <f>IFERROR(SMALL(Devices[Row Sel SE], Devices[[#This Row],[Row Num]]), " ")</f>
        <v>42</v>
      </c>
      <c r="AG14" s="310">
        <f>IFERROR(SMALL(Devices[Row Sel N], Devices[[#This Row],[Row Num]]), " ")</f>
        <v>96</v>
      </c>
      <c r="AH14" s="310" t="str">
        <f>IFERROR(INDEX(Devices[Part], Devices[[#This Row],[Sel D]], 1), "")</f>
        <v>AMC0200R-Q1 (Vref = 3.3V)</v>
      </c>
      <c r="AI14" s="310">
        <f>IFERROR(INDEX(Devices[Part], Devices[[#This Row],[Sel IntRdiv]], 1), "")</f>
        <v>0</v>
      </c>
      <c r="AJ14" s="310" t="str">
        <f>IFERROR(INDEX(Devices[Part], Devices[[#This Row],[Sel SE]], 1), "")</f>
        <v>AMC0311D</v>
      </c>
      <c r="AK14" s="310">
        <f>IFERROR(INDEX(Devices[Part], Devices[[#This Row],[Sel N]], 1), "")</f>
        <v>0</v>
      </c>
    </row>
    <row r="15" spans="1:53" s="470" customFormat="1" ht="15" customHeight="1">
      <c r="A15" s="349" t="s">
        <v>478</v>
      </c>
      <c r="B15" s="331" t="s">
        <v>51</v>
      </c>
      <c r="C15" s="429" t="s">
        <v>455</v>
      </c>
      <c r="D15" s="314">
        <v>4.0000000000000002E-4</v>
      </c>
      <c r="E15" s="314">
        <v>2.5000000000000001E-3</v>
      </c>
      <c r="F15" s="315">
        <v>5</v>
      </c>
      <c r="G15" s="315">
        <v>35</v>
      </c>
      <c r="H15" s="479">
        <v>0.01</v>
      </c>
      <c r="I15" s="479">
        <v>0.2</v>
      </c>
      <c r="J15" s="317">
        <v>0.25</v>
      </c>
      <c r="K15" s="317">
        <v>3</v>
      </c>
      <c r="L15" s="314">
        <v>1.2999999999999999E-4</v>
      </c>
      <c r="M15" s="314">
        <v>4.0000000000000001E-3</v>
      </c>
      <c r="N15" s="315">
        <v>1</v>
      </c>
      <c r="O15" s="315">
        <v>3</v>
      </c>
      <c r="P15" s="344">
        <v>250</v>
      </c>
      <c r="Q15" s="480">
        <v>5</v>
      </c>
      <c r="R15" s="345">
        <v>-40</v>
      </c>
      <c r="S15" s="345">
        <v>125</v>
      </c>
      <c r="T15" s="321"/>
      <c r="U15" s="321">
        <v>27500</v>
      </c>
      <c r="V15" s="346">
        <v>27500</v>
      </c>
      <c r="W15" s="804">
        <v>20</v>
      </c>
      <c r="X15" s="379">
        <v>0</v>
      </c>
      <c r="Y15" s="310">
        <f t="shared" si="1"/>
        <v>9</v>
      </c>
      <c r="Z15" s="310">
        <f>IF(OR($AN$18=Devices[[#This Row],[Input Type]], 0=Devices[[#This Row],[Input Type]]),Devices[[#This Row],[Row Num]], " ")</f>
        <v>9</v>
      </c>
      <c r="AA15" s="310" t="str">
        <f>IF(OR($AN$19=Devices[[#This Row],[Input Type]], 0=Devices[[#This Row],[Input Type]]),Devices[[#This Row],[Row Num]], " ")</f>
        <v xml:space="preserve"> </v>
      </c>
      <c r="AB15" s="310" t="str">
        <f>IF(OR($AN$20=Devices[[#This Row],[Input Type]], 0=Devices[[#This Row],[Input Type]]),Devices[[#This Row],[Row Num]], " ")</f>
        <v xml:space="preserve"> </v>
      </c>
      <c r="AC15" s="310" t="str">
        <f>IF(0=Devices[[#This Row],[Input Type]], Devices[[#This Row],[Row Num]], " ")</f>
        <v xml:space="preserve"> </v>
      </c>
      <c r="AD15" s="310">
        <f>IFERROR(SMALL(Devices[Row Sel D], Devices[[#This Row],[Row Num]]), " ")</f>
        <v>9</v>
      </c>
      <c r="AE15" s="310">
        <f>IFERROR(SMALL(Devices[Row Sel IntRdiv], Devices[[#This Row],[Row Num]]), " ")</f>
        <v>93</v>
      </c>
      <c r="AF15" s="310">
        <f>IFERROR(SMALL(Devices[Row Sel SE], Devices[[#This Row],[Row Num]]), " ")</f>
        <v>43</v>
      </c>
      <c r="AG15" s="310">
        <f>IFERROR(SMALL(Devices[Row Sel N], Devices[[#This Row],[Row Num]]), " ")</f>
        <v>97</v>
      </c>
      <c r="AH15" s="310" t="str">
        <f>IFERROR(INDEX(Devices[Part], Devices[[#This Row],[Sel D]], 1), "")</f>
        <v>AMC0200R-Q1 (Vref = 5V)</v>
      </c>
      <c r="AI15" s="310">
        <f>IFERROR(INDEX(Devices[Part], Devices[[#This Row],[Sel IntRdiv]], 1), "")</f>
        <v>0</v>
      </c>
      <c r="AJ15" s="310" t="str">
        <f>IFERROR(INDEX(Devices[Part], Devices[[#This Row],[Sel SE]], 1), "")</f>
        <v>AMC0311D-Q1</v>
      </c>
      <c r="AK15" s="310">
        <f>IFERROR(INDEX(Devices[Part], Devices[[#This Row],[Sel N]], 1), "")</f>
        <v>0</v>
      </c>
      <c r="AM15" s="311"/>
    </row>
    <row r="16" spans="1:53" s="470" customFormat="1" ht="15" customHeight="1">
      <c r="A16" s="349" t="s">
        <v>479</v>
      </c>
      <c r="B16" s="331" t="s">
        <v>51</v>
      </c>
      <c r="C16" s="429" t="s">
        <v>51</v>
      </c>
      <c r="D16" s="314">
        <v>4.0000000000000002E-4</v>
      </c>
      <c r="E16" s="314">
        <v>2E-3</v>
      </c>
      <c r="F16" s="315">
        <v>5</v>
      </c>
      <c r="G16" s="315">
        <v>45</v>
      </c>
      <c r="H16" s="479">
        <v>4.0000000000000001E-3</v>
      </c>
      <c r="I16" s="479">
        <v>0.05</v>
      </c>
      <c r="J16" s="317">
        <v>0.1</v>
      </c>
      <c r="K16" s="317">
        <v>0.9</v>
      </c>
      <c r="L16" s="314">
        <v>1.2999999999999999E-4</v>
      </c>
      <c r="M16" s="314">
        <v>4.0000000000000002E-4</v>
      </c>
      <c r="N16" s="315">
        <v>1</v>
      </c>
      <c r="O16" s="315">
        <v>3</v>
      </c>
      <c r="P16" s="344">
        <v>50</v>
      </c>
      <c r="Q16" s="480">
        <v>2.0499999999999998</v>
      </c>
      <c r="R16" s="345">
        <v>-40</v>
      </c>
      <c r="S16" s="345">
        <v>125</v>
      </c>
      <c r="T16" s="321"/>
      <c r="U16" s="321">
        <v>6300</v>
      </c>
      <c r="V16" s="346">
        <v>6300</v>
      </c>
      <c r="W16" s="804">
        <v>41</v>
      </c>
      <c r="X16" s="379">
        <v>0</v>
      </c>
      <c r="Y16" s="310">
        <f t="shared" si="1"/>
        <v>10</v>
      </c>
      <c r="Z16" s="310">
        <f>IF(OR($AN$18=Devices[[#This Row],[Input Type]], 0=Devices[[#This Row],[Input Type]]),Devices[[#This Row],[Row Num]], " ")</f>
        <v>10</v>
      </c>
      <c r="AA16" s="310" t="str">
        <f>IF(OR($AN$19=Devices[[#This Row],[Input Type]], 0=Devices[[#This Row],[Input Type]]),Devices[[#This Row],[Row Num]], " ")</f>
        <v xml:space="preserve"> </v>
      </c>
      <c r="AB16" s="310" t="str">
        <f>IF(OR($AN$20=Devices[[#This Row],[Input Type]], 0=Devices[[#This Row],[Input Type]]),Devices[[#This Row],[Row Num]], " ")</f>
        <v xml:space="preserve"> </v>
      </c>
      <c r="AC16" s="310" t="str">
        <f>IF(0=Devices[[#This Row],[Input Type]], Devices[[#This Row],[Row Num]], " ")</f>
        <v xml:space="preserve"> </v>
      </c>
      <c r="AD16" s="310">
        <f>IFERROR(SMALL(Devices[Row Sel D], Devices[[#This Row],[Row Num]]), " ")</f>
        <v>10</v>
      </c>
      <c r="AE16" s="310">
        <f>IFERROR(SMALL(Devices[Row Sel IntRdiv], Devices[[#This Row],[Row Num]]), " ")</f>
        <v>94</v>
      </c>
      <c r="AF16" s="310">
        <f>IFERROR(SMALL(Devices[Row Sel SE], Devices[[#This Row],[Row Num]]), " ")</f>
        <v>44</v>
      </c>
      <c r="AG16" s="310">
        <f>IFERROR(SMALL(Devices[Row Sel N], Devices[[#This Row],[Row Num]]), " ")</f>
        <v>98</v>
      </c>
      <c r="AH16" s="310" t="str">
        <f>IFERROR(INDEX(Devices[Part], Devices[[#This Row],[Sel D]], 1), "")</f>
        <v>AMC0202D</v>
      </c>
      <c r="AI16" s="310">
        <f>IFERROR(INDEX(Devices[Part], Devices[[#This Row],[Sel IntRdiv]], 1), "")</f>
        <v>0</v>
      </c>
      <c r="AJ16" s="310" t="str">
        <f>IFERROR(INDEX(Devices[Part], Devices[[#This Row],[Sel SE]], 1), "")</f>
        <v>AMC0311R-Q1 (Vref = 3.3V)</v>
      </c>
      <c r="AK16" s="310">
        <f>IFERROR(INDEX(Devices[Part], Devices[[#This Row],[Sel N]], 1), "")</f>
        <v>0</v>
      </c>
      <c r="AM16" s="311"/>
      <c r="AN16" s="153" t="s">
        <v>50</v>
      </c>
    </row>
    <row r="17" spans="1:40" s="470" customFormat="1" ht="15" customHeight="1">
      <c r="A17" s="349" t="s">
        <v>480</v>
      </c>
      <c r="B17" s="331" t="s">
        <v>51</v>
      </c>
      <c r="C17" s="429" t="s">
        <v>51</v>
      </c>
      <c r="D17" s="314">
        <v>4.0000000000000002E-4</v>
      </c>
      <c r="E17" s="314">
        <v>2E-3</v>
      </c>
      <c r="F17" s="315">
        <v>5</v>
      </c>
      <c r="G17" s="315">
        <v>45</v>
      </c>
      <c r="H17" s="479">
        <v>4.0000000000000001E-3</v>
      </c>
      <c r="I17" s="479">
        <v>0.05</v>
      </c>
      <c r="J17" s="317">
        <v>0.1</v>
      </c>
      <c r="K17" s="317">
        <v>0.9</v>
      </c>
      <c r="L17" s="314">
        <v>1.2999999999999999E-4</v>
      </c>
      <c r="M17" s="314">
        <v>4.0000000000000002E-4</v>
      </c>
      <c r="N17" s="315">
        <v>1</v>
      </c>
      <c r="O17" s="315">
        <v>3</v>
      </c>
      <c r="P17" s="344">
        <v>50</v>
      </c>
      <c r="Q17" s="480">
        <v>2.0499999999999998</v>
      </c>
      <c r="R17" s="345">
        <v>-40</v>
      </c>
      <c r="S17" s="345">
        <v>125</v>
      </c>
      <c r="T17" s="321"/>
      <c r="U17" s="321">
        <v>6300</v>
      </c>
      <c r="V17" s="346">
        <v>6300</v>
      </c>
      <c r="W17" s="804">
        <v>41</v>
      </c>
      <c r="X17" s="379">
        <v>0</v>
      </c>
      <c r="Y17" s="310">
        <f t="shared" si="1"/>
        <v>11</v>
      </c>
      <c r="Z17" s="310">
        <f>IF(OR($AN$18=Devices[[#This Row],[Input Type]], 0=Devices[[#This Row],[Input Type]]),Devices[[#This Row],[Row Num]], " ")</f>
        <v>11</v>
      </c>
      <c r="AA17" s="310" t="str">
        <f>IF(OR($AN$19=Devices[[#This Row],[Input Type]], 0=Devices[[#This Row],[Input Type]]),Devices[[#This Row],[Row Num]], " ")</f>
        <v xml:space="preserve"> </v>
      </c>
      <c r="AB17" s="310" t="str">
        <f>IF(OR($AN$20=Devices[[#This Row],[Input Type]], 0=Devices[[#This Row],[Input Type]]),Devices[[#This Row],[Row Num]], " ")</f>
        <v xml:space="preserve"> </v>
      </c>
      <c r="AC17" s="310" t="str">
        <f>IF(0=Devices[[#This Row],[Input Type]], Devices[[#This Row],[Row Num]], " ")</f>
        <v xml:space="preserve"> </v>
      </c>
      <c r="AD17" s="310">
        <f>IFERROR(SMALL(Devices[Row Sel D], Devices[[#This Row],[Row Num]]), " ")</f>
        <v>11</v>
      </c>
      <c r="AE17" s="310">
        <f>IFERROR(SMALL(Devices[Row Sel IntRdiv], Devices[[#This Row],[Row Num]]), " ")</f>
        <v>95</v>
      </c>
      <c r="AF17" s="310">
        <f>IFERROR(SMALL(Devices[Row Sel SE], Devices[[#This Row],[Row Num]]), " ")</f>
        <v>45</v>
      </c>
      <c r="AG17" s="310">
        <f>IFERROR(SMALL(Devices[Row Sel N], Devices[[#This Row],[Row Num]]), " ")</f>
        <v>99</v>
      </c>
      <c r="AH17" s="310" t="str">
        <f>IFERROR(INDEX(Devices[Part], Devices[[#This Row],[Sel D]], 1), "")</f>
        <v>AMC0202D-Q1</v>
      </c>
      <c r="AI17" s="310">
        <f>IFERROR(INDEX(Devices[Part], Devices[[#This Row],[Sel IntRdiv]], 1), "")</f>
        <v>0</v>
      </c>
      <c r="AJ17" s="310" t="str">
        <f>IFERROR(INDEX(Devices[Part], Devices[[#This Row],[Sel SE]], 1), "")</f>
        <v>AMC0311R-Q1 (Vref = 5V)</v>
      </c>
      <c r="AK17" s="310">
        <f>IFERROR(INDEX(Devices[Part], Devices[[#This Row],[Sel N]], 1), "")</f>
        <v>0</v>
      </c>
      <c r="AM17" s="311"/>
      <c r="AN17" s="153"/>
    </row>
    <row r="18" spans="1:40" s="470" customFormat="1" ht="15" customHeight="1">
      <c r="A18" s="349" t="s">
        <v>481</v>
      </c>
      <c r="B18" s="331" t="s">
        <v>51</v>
      </c>
      <c r="C18" s="429" t="s">
        <v>455</v>
      </c>
      <c r="D18" s="314">
        <v>4.0000000000000002E-4</v>
      </c>
      <c r="E18" s="314">
        <v>2E-3</v>
      </c>
      <c r="F18" s="315">
        <v>5</v>
      </c>
      <c r="G18" s="315">
        <v>45</v>
      </c>
      <c r="H18" s="479">
        <v>4.0000000000000001E-3</v>
      </c>
      <c r="I18" s="479">
        <v>0.05</v>
      </c>
      <c r="J18" s="317">
        <v>0.15</v>
      </c>
      <c r="K18" s="317">
        <v>1</v>
      </c>
      <c r="L18" s="314">
        <v>1.3300000000000001E-4</v>
      </c>
      <c r="M18" s="314">
        <v>4.0000000000000002E-4</v>
      </c>
      <c r="N18" s="315">
        <v>1</v>
      </c>
      <c r="O18" s="315">
        <v>3</v>
      </c>
      <c r="P18" s="344">
        <v>50</v>
      </c>
      <c r="Q18" s="480">
        <v>3.3</v>
      </c>
      <c r="R18" s="345">
        <v>-40</v>
      </c>
      <c r="S18" s="345">
        <v>125</v>
      </c>
      <c r="T18" s="321"/>
      <c r="U18" s="321">
        <v>6300</v>
      </c>
      <c r="V18" s="346">
        <v>6300</v>
      </c>
      <c r="W18" s="804">
        <v>66</v>
      </c>
      <c r="X18" s="379">
        <v>0</v>
      </c>
      <c r="Y18" s="310">
        <f t="shared" si="1"/>
        <v>12</v>
      </c>
      <c r="Z18" s="310">
        <f>IF(OR($AN$18=Devices[[#This Row],[Input Type]], 0=Devices[[#This Row],[Input Type]]),Devices[[#This Row],[Row Num]], " ")</f>
        <v>12</v>
      </c>
      <c r="AA18" s="310" t="str">
        <f>IF(OR($AN$19=Devices[[#This Row],[Input Type]], 0=Devices[[#This Row],[Input Type]]),Devices[[#This Row],[Row Num]], " ")</f>
        <v xml:space="preserve"> </v>
      </c>
      <c r="AB18" s="310" t="str">
        <f>IF(OR($AN$20=Devices[[#This Row],[Input Type]], 0=Devices[[#This Row],[Input Type]]),Devices[[#This Row],[Row Num]], " ")</f>
        <v xml:space="preserve"> </v>
      </c>
      <c r="AC18" s="310" t="str">
        <f>IF(0=Devices[[#This Row],[Input Type]], Devices[[#This Row],[Row Num]], " ")</f>
        <v xml:space="preserve"> </v>
      </c>
      <c r="AD18" s="310">
        <f>IFERROR(SMALL(Devices[Row Sel D], Devices[[#This Row],[Row Num]]), " ")</f>
        <v>12</v>
      </c>
      <c r="AE18" s="310">
        <f>IFERROR(SMALL(Devices[Row Sel IntRdiv], Devices[[#This Row],[Row Num]]), " ")</f>
        <v>96</v>
      </c>
      <c r="AF18" s="310">
        <f>IFERROR(SMALL(Devices[Row Sel SE], Devices[[#This Row],[Row Num]]), " ")</f>
        <v>46</v>
      </c>
      <c r="AG18" s="310">
        <f>IFERROR(SMALL(Devices[Row Sel N], Devices[[#This Row],[Row Num]]), " ")</f>
        <v>100</v>
      </c>
      <c r="AH18" s="310" t="str">
        <f>IFERROR(INDEX(Devices[Part], Devices[[#This Row],[Sel D]], 1), "")</f>
        <v>AMC0202R (Vref = 3.3V)</v>
      </c>
      <c r="AI18" s="310">
        <f>IFERROR(INDEX(Devices[Part], Devices[[#This Row],[Sel IntRdiv]], 1), "")</f>
        <v>0</v>
      </c>
      <c r="AJ18" s="310" t="str">
        <f>IFERROR(INDEX(Devices[Part], Devices[[#This Row],[Sel SE]], 1), "")</f>
        <v>AMC0311S</v>
      </c>
      <c r="AK18" s="310">
        <f>IFERROR(INDEX(Devices[Part], Devices[[#This Row],[Sel N]], 1), "")</f>
        <v>0</v>
      </c>
      <c r="AM18" s="311"/>
      <c r="AN18" s="153" t="s">
        <v>51</v>
      </c>
    </row>
    <row r="19" spans="1:40" s="470" customFormat="1" ht="15" customHeight="1">
      <c r="A19" s="349" t="s">
        <v>482</v>
      </c>
      <c r="B19" s="331" t="s">
        <v>51</v>
      </c>
      <c r="C19" s="429" t="s">
        <v>455</v>
      </c>
      <c r="D19" s="314">
        <v>4.0000000000000002E-4</v>
      </c>
      <c r="E19" s="314">
        <v>2E-3</v>
      </c>
      <c r="F19" s="315">
        <v>5</v>
      </c>
      <c r="G19" s="315">
        <v>45</v>
      </c>
      <c r="H19" s="479">
        <v>4.0000000000000001E-3</v>
      </c>
      <c r="I19" s="479">
        <v>0.05</v>
      </c>
      <c r="J19" s="317">
        <v>0.15</v>
      </c>
      <c r="K19" s="317">
        <v>1</v>
      </c>
      <c r="L19" s="314">
        <v>1.3300000000000001E-4</v>
      </c>
      <c r="M19" s="314">
        <v>4.0000000000000002E-4</v>
      </c>
      <c r="N19" s="315">
        <v>1</v>
      </c>
      <c r="O19" s="315">
        <v>3</v>
      </c>
      <c r="P19" s="344">
        <v>50</v>
      </c>
      <c r="Q19" s="480">
        <v>5</v>
      </c>
      <c r="R19" s="345">
        <v>-40</v>
      </c>
      <c r="S19" s="345">
        <v>125</v>
      </c>
      <c r="T19" s="321"/>
      <c r="U19" s="321">
        <v>6300</v>
      </c>
      <c r="V19" s="346">
        <v>6300</v>
      </c>
      <c r="W19" s="804">
        <v>100</v>
      </c>
      <c r="X19" s="379">
        <v>0</v>
      </c>
      <c r="Y19" s="310">
        <f t="shared" si="1"/>
        <v>13</v>
      </c>
      <c r="Z19" s="310">
        <f>IF(OR($AN$18=Devices[[#This Row],[Input Type]], 0=Devices[[#This Row],[Input Type]]),Devices[[#This Row],[Row Num]], " ")</f>
        <v>13</v>
      </c>
      <c r="AA19" s="310" t="str">
        <f>IF(OR($AN$19=Devices[[#This Row],[Input Type]], 0=Devices[[#This Row],[Input Type]]),Devices[[#This Row],[Row Num]], " ")</f>
        <v xml:space="preserve"> </v>
      </c>
      <c r="AB19" s="310" t="str">
        <f>IF(OR($AN$20=Devices[[#This Row],[Input Type]], 0=Devices[[#This Row],[Input Type]]),Devices[[#This Row],[Row Num]], " ")</f>
        <v xml:space="preserve"> </v>
      </c>
      <c r="AC19" s="310" t="str">
        <f>IF(0=Devices[[#This Row],[Input Type]], Devices[[#This Row],[Row Num]], " ")</f>
        <v xml:space="preserve"> </v>
      </c>
      <c r="AD19" s="310">
        <f>IFERROR(SMALL(Devices[Row Sel D], Devices[[#This Row],[Row Num]]), " ")</f>
        <v>13</v>
      </c>
      <c r="AE19" s="310">
        <f>IFERROR(SMALL(Devices[Row Sel IntRdiv], Devices[[#This Row],[Row Num]]), " ")</f>
        <v>97</v>
      </c>
      <c r="AF19" s="310">
        <f>IFERROR(SMALL(Devices[Row Sel SE], Devices[[#This Row],[Row Num]]), " ")</f>
        <v>47</v>
      </c>
      <c r="AG19" s="310">
        <f>IFERROR(SMALL(Devices[Row Sel N], Devices[[#This Row],[Row Num]]), " ")</f>
        <v>101</v>
      </c>
      <c r="AH19" s="310" t="str">
        <f>IFERROR(INDEX(Devices[Part], Devices[[#This Row],[Sel D]], 1), "")</f>
        <v>AMC0202R (Vref = 5V)</v>
      </c>
      <c r="AI19" s="310">
        <f>IFERROR(INDEX(Devices[Part], Devices[[#This Row],[Sel IntRdiv]], 1), "")</f>
        <v>0</v>
      </c>
      <c r="AJ19" s="310" t="str">
        <f>IFERROR(INDEX(Devices[Part], Devices[[#This Row],[Sel SE]], 1), "")</f>
        <v>AMC0311S-Q1</v>
      </c>
      <c r="AK19" s="310">
        <f>IFERROR(INDEX(Devices[Part], Devices[[#This Row],[Sel N]], 1), "")</f>
        <v>0</v>
      </c>
      <c r="AM19" s="311"/>
      <c r="AN19" s="470" t="s">
        <v>521</v>
      </c>
    </row>
    <row r="20" spans="1:40" s="470" customFormat="1" ht="15" customHeight="1">
      <c r="A20" s="349" t="s">
        <v>483</v>
      </c>
      <c r="B20" s="331" t="s">
        <v>51</v>
      </c>
      <c r="C20" s="429" t="s">
        <v>455</v>
      </c>
      <c r="D20" s="314">
        <v>4.0000000000000002E-4</v>
      </c>
      <c r="E20" s="314">
        <v>2E-3</v>
      </c>
      <c r="F20" s="315">
        <v>5</v>
      </c>
      <c r="G20" s="315">
        <v>45</v>
      </c>
      <c r="H20" s="479">
        <v>4.0000000000000001E-3</v>
      </c>
      <c r="I20" s="479">
        <v>0.05</v>
      </c>
      <c r="J20" s="317">
        <v>0.15</v>
      </c>
      <c r="K20" s="317">
        <v>1</v>
      </c>
      <c r="L20" s="314">
        <v>1.3300000000000001E-4</v>
      </c>
      <c r="M20" s="314">
        <v>4.0000000000000002E-4</v>
      </c>
      <c r="N20" s="315">
        <v>1</v>
      </c>
      <c r="O20" s="315">
        <v>3</v>
      </c>
      <c r="P20" s="344">
        <v>50</v>
      </c>
      <c r="Q20" s="480">
        <v>3.3</v>
      </c>
      <c r="R20" s="345">
        <v>-40</v>
      </c>
      <c r="S20" s="345">
        <v>125</v>
      </c>
      <c r="T20" s="321"/>
      <c r="U20" s="321">
        <v>6300</v>
      </c>
      <c r="V20" s="346">
        <v>6300</v>
      </c>
      <c r="W20" s="804">
        <v>66</v>
      </c>
      <c r="X20" s="379">
        <v>0</v>
      </c>
      <c r="Y20" s="310">
        <f t="shared" si="1"/>
        <v>14</v>
      </c>
      <c r="Z20" s="310">
        <f>IF(OR($AN$18=Devices[[#This Row],[Input Type]], 0=Devices[[#This Row],[Input Type]]),Devices[[#This Row],[Row Num]], " ")</f>
        <v>14</v>
      </c>
      <c r="AA20" s="310" t="str">
        <f>IF(OR($AN$19=Devices[[#This Row],[Input Type]], 0=Devices[[#This Row],[Input Type]]),Devices[[#This Row],[Row Num]], " ")</f>
        <v xml:space="preserve"> </v>
      </c>
      <c r="AB20" s="310" t="str">
        <f>IF(OR($AN$20=Devices[[#This Row],[Input Type]], 0=Devices[[#This Row],[Input Type]]),Devices[[#This Row],[Row Num]], " ")</f>
        <v xml:space="preserve"> </v>
      </c>
      <c r="AC20" s="310" t="str">
        <f>IF(0=Devices[[#This Row],[Input Type]], Devices[[#This Row],[Row Num]], " ")</f>
        <v xml:space="preserve"> </v>
      </c>
      <c r="AD20" s="310">
        <f>IFERROR(SMALL(Devices[Row Sel D], Devices[[#This Row],[Row Num]]), " ")</f>
        <v>14</v>
      </c>
      <c r="AE20" s="310">
        <f>IFERROR(SMALL(Devices[Row Sel IntRdiv], Devices[[#This Row],[Row Num]]), " ")</f>
        <v>98</v>
      </c>
      <c r="AF20" s="310">
        <f>IFERROR(SMALL(Devices[Row Sel SE], Devices[[#This Row],[Row Num]]), " ")</f>
        <v>58</v>
      </c>
      <c r="AG20" s="310">
        <f>IFERROR(SMALL(Devices[Row Sel N], Devices[[#This Row],[Row Num]]), " ")</f>
        <v>102</v>
      </c>
      <c r="AH20" s="310" t="str">
        <f>IFERROR(INDEX(Devices[Part], Devices[[#This Row],[Sel D]], 1), "")</f>
        <v>AMC0202R-Q1 (Vref = 3.3V)</v>
      </c>
      <c r="AI20" s="310">
        <f>IFERROR(INDEX(Devices[Part], Devices[[#This Row],[Sel IntRdiv]], 1), "")</f>
        <v>0</v>
      </c>
      <c r="AJ20" s="310" t="str">
        <f>IFERROR(INDEX(Devices[Part], Devices[[#This Row],[Sel SE]], 1), "")</f>
        <v>AMC1211-Q1</v>
      </c>
      <c r="AK20" s="310">
        <f>IFERROR(INDEX(Devices[Part], Devices[[#This Row],[Sel N]], 1), "")</f>
        <v>0</v>
      </c>
      <c r="AM20" s="311"/>
      <c r="AN20" s="153" t="s">
        <v>52</v>
      </c>
    </row>
    <row r="21" spans="1:40" s="470" customFormat="1" ht="15" customHeight="1">
      <c r="A21" s="349" t="s">
        <v>484</v>
      </c>
      <c r="B21" s="331" t="s">
        <v>51</v>
      </c>
      <c r="C21" s="429" t="s">
        <v>455</v>
      </c>
      <c r="D21" s="314">
        <v>4.0000000000000002E-4</v>
      </c>
      <c r="E21" s="314">
        <v>2E-3</v>
      </c>
      <c r="F21" s="315">
        <v>5</v>
      </c>
      <c r="G21" s="315">
        <v>45</v>
      </c>
      <c r="H21" s="479">
        <v>4.0000000000000001E-3</v>
      </c>
      <c r="I21" s="479">
        <v>0.05</v>
      </c>
      <c r="J21" s="317">
        <v>0.15</v>
      </c>
      <c r="K21" s="317">
        <v>1</v>
      </c>
      <c r="L21" s="314">
        <v>1.3300000000000001E-4</v>
      </c>
      <c r="M21" s="314">
        <v>4.0000000000000002E-4</v>
      </c>
      <c r="N21" s="315">
        <v>1</v>
      </c>
      <c r="O21" s="315">
        <v>3</v>
      </c>
      <c r="P21" s="344">
        <v>50</v>
      </c>
      <c r="Q21" s="480">
        <v>5</v>
      </c>
      <c r="R21" s="345">
        <v>-40</v>
      </c>
      <c r="S21" s="345">
        <v>125</v>
      </c>
      <c r="T21" s="321"/>
      <c r="U21" s="321">
        <v>6300</v>
      </c>
      <c r="V21" s="346">
        <v>6300</v>
      </c>
      <c r="W21" s="804">
        <v>100</v>
      </c>
      <c r="X21" s="379">
        <v>0</v>
      </c>
      <c r="Y21" s="310">
        <f t="shared" si="1"/>
        <v>15</v>
      </c>
      <c r="Z21" s="310">
        <f>IF(OR($AN$18=Devices[[#This Row],[Input Type]], 0=Devices[[#This Row],[Input Type]]),Devices[[#This Row],[Row Num]], " ")</f>
        <v>15</v>
      </c>
      <c r="AA21" s="310" t="str">
        <f>IF(OR($AN$19=Devices[[#This Row],[Input Type]], 0=Devices[[#This Row],[Input Type]]),Devices[[#This Row],[Row Num]], " ")</f>
        <v xml:space="preserve"> </v>
      </c>
      <c r="AB21" s="310" t="str">
        <f>IF(OR($AN$20=Devices[[#This Row],[Input Type]], 0=Devices[[#This Row],[Input Type]]),Devices[[#This Row],[Row Num]], " ")</f>
        <v xml:space="preserve"> </v>
      </c>
      <c r="AC21" s="310" t="str">
        <f>IF(0=Devices[[#This Row],[Input Type]], Devices[[#This Row],[Row Num]], " ")</f>
        <v xml:space="preserve"> </v>
      </c>
      <c r="AD21" s="310">
        <f>IFERROR(SMALL(Devices[Row Sel D], Devices[[#This Row],[Row Num]]), " ")</f>
        <v>15</v>
      </c>
      <c r="AE21" s="310">
        <f>IFERROR(SMALL(Devices[Row Sel IntRdiv], Devices[[#This Row],[Row Num]]), " ")</f>
        <v>99</v>
      </c>
      <c r="AF21" s="310">
        <f>IFERROR(SMALL(Devices[Row Sel SE], Devices[[#This Row],[Row Num]]), " ")</f>
        <v>68</v>
      </c>
      <c r="AG21" s="310">
        <f>IFERROR(SMALL(Devices[Row Sel N], Devices[[#This Row],[Row Num]]), " ")</f>
        <v>103</v>
      </c>
      <c r="AH21" s="310" t="str">
        <f>IFERROR(INDEX(Devices[Part], Devices[[#This Row],[Sel D]], 1), "")</f>
        <v>AMC0202R-Q1 (Vref = 5V)</v>
      </c>
      <c r="AI21" s="310">
        <f>IFERROR(INDEX(Devices[Part], Devices[[#This Row],[Sel IntRdiv]], 1), "")</f>
        <v>0</v>
      </c>
      <c r="AJ21" s="310" t="str">
        <f>IFERROR(INDEX(Devices[Part], Devices[[#This Row],[Sel SE]], 1), "")</f>
        <v>AMC1311</v>
      </c>
      <c r="AK21" s="310">
        <f>IFERROR(INDEX(Devices[Part], Devices[[#This Row],[Sel N]], 1), "")</f>
        <v>0</v>
      </c>
      <c r="AM21" s="311"/>
    </row>
    <row r="22" spans="1:40" s="470" customFormat="1" ht="15" customHeight="1">
      <c r="A22" s="349" t="s">
        <v>485</v>
      </c>
      <c r="B22" s="331" t="s">
        <v>52</v>
      </c>
      <c r="C22" s="429" t="s">
        <v>51</v>
      </c>
      <c r="D22" s="314">
        <v>4.0000000000000002E-4</v>
      </c>
      <c r="E22" s="314">
        <v>2.5000000000000001E-3</v>
      </c>
      <c r="F22" s="315">
        <v>5</v>
      </c>
      <c r="G22" s="315">
        <v>50</v>
      </c>
      <c r="H22" s="479">
        <v>0.1</v>
      </c>
      <c r="I22" s="479">
        <v>0.8</v>
      </c>
      <c r="J22" s="317">
        <v>1</v>
      </c>
      <c r="K22" s="317">
        <v>10</v>
      </c>
      <c r="L22" s="481">
        <v>2.0000000000000002E-5</v>
      </c>
      <c r="M22" s="481">
        <v>3.5E-4</v>
      </c>
      <c r="N22" s="315">
        <v>1</v>
      </c>
      <c r="O22" s="315">
        <v>3</v>
      </c>
      <c r="P22" s="344">
        <v>2000</v>
      </c>
      <c r="Q22" s="480">
        <v>2</v>
      </c>
      <c r="R22" s="345">
        <v>-40</v>
      </c>
      <c r="S22" s="345">
        <v>125</v>
      </c>
      <c r="T22" s="321"/>
      <c r="U22" s="321">
        <v>2400000000</v>
      </c>
      <c r="V22" s="346">
        <v>2400000000</v>
      </c>
      <c r="W22" s="804">
        <v>1</v>
      </c>
      <c r="X22" s="482">
        <v>3.0000000000000001E-3</v>
      </c>
      <c r="Y22" s="310">
        <f t="shared" si="1"/>
        <v>16</v>
      </c>
      <c r="Z22" s="310" t="str">
        <f>IF(OR($AN$18=Devices[[#This Row],[Input Type]], 0=Devices[[#This Row],[Input Type]]),Devices[[#This Row],[Row Num]], " ")</f>
        <v xml:space="preserve"> </v>
      </c>
      <c r="AA22" s="310" t="str">
        <f>IF(OR($AN$19=Devices[[#This Row],[Input Type]], 0=Devices[[#This Row],[Input Type]]),Devices[[#This Row],[Row Num]], " ")</f>
        <v xml:space="preserve"> </v>
      </c>
      <c r="AB22" s="310">
        <f>IF(OR($AN$20=Devices[[#This Row],[Input Type]], 0=Devices[[#This Row],[Input Type]]),Devices[[#This Row],[Row Num]], " ")</f>
        <v>16</v>
      </c>
      <c r="AC22" s="310" t="str">
        <f>IF(0=Devices[[#This Row],[Input Type]], Devices[[#This Row],[Row Num]], " ")</f>
        <v xml:space="preserve"> </v>
      </c>
      <c r="AD22" s="310">
        <f>IFERROR(SMALL(Devices[Row Sel D], Devices[[#This Row],[Row Num]]), " ")</f>
        <v>22</v>
      </c>
      <c r="AE22" s="310">
        <f>IFERROR(SMALL(Devices[Row Sel IntRdiv], Devices[[#This Row],[Row Num]]), " ")</f>
        <v>100</v>
      </c>
      <c r="AF22" s="310">
        <f>IFERROR(SMALL(Devices[Row Sel SE], Devices[[#This Row],[Row Num]]), " ")</f>
        <v>69</v>
      </c>
      <c r="AG22" s="310">
        <f>IFERROR(SMALL(Devices[Row Sel N], Devices[[#This Row],[Row Num]]), " ")</f>
        <v>104</v>
      </c>
      <c r="AH22" s="310" t="str">
        <f>IFERROR(INDEX(Devices[Part], Devices[[#This Row],[Sel D]], 1), "")</f>
        <v>AMC0230D</v>
      </c>
      <c r="AI22" s="310">
        <f>IFERROR(INDEX(Devices[Part], Devices[[#This Row],[Sel IntRdiv]], 1), "")</f>
        <v>0</v>
      </c>
      <c r="AJ22" s="310" t="str">
        <f>IFERROR(INDEX(Devices[Part], Devices[[#This Row],[Sel SE]], 1), "")</f>
        <v>AMC1311B</v>
      </c>
      <c r="AK22" s="310">
        <f>IFERROR(INDEX(Devices[Part], Devices[[#This Row],[Sel N]], 1), "")</f>
        <v>0</v>
      </c>
      <c r="AM22" s="311"/>
    </row>
    <row r="23" spans="1:40" s="470" customFormat="1" ht="15" customHeight="1">
      <c r="A23" s="349" t="s">
        <v>486</v>
      </c>
      <c r="B23" s="331" t="s">
        <v>52</v>
      </c>
      <c r="C23" s="429" t="s">
        <v>51</v>
      </c>
      <c r="D23" s="314">
        <v>4.0000000000000002E-4</v>
      </c>
      <c r="E23" s="314">
        <v>2.5000000000000001E-3</v>
      </c>
      <c r="F23" s="315">
        <v>5</v>
      </c>
      <c r="G23" s="315">
        <v>50</v>
      </c>
      <c r="H23" s="479">
        <v>0.1</v>
      </c>
      <c r="I23" s="479">
        <v>0.8</v>
      </c>
      <c r="J23" s="317">
        <v>1</v>
      </c>
      <c r="K23" s="317">
        <v>10</v>
      </c>
      <c r="L23" s="481">
        <v>2.0000000000000002E-5</v>
      </c>
      <c r="M23" s="481">
        <v>3.5E-4</v>
      </c>
      <c r="N23" s="315">
        <v>1</v>
      </c>
      <c r="O23" s="315">
        <v>3</v>
      </c>
      <c r="P23" s="344">
        <v>2000</v>
      </c>
      <c r="Q23" s="480">
        <v>2</v>
      </c>
      <c r="R23" s="345">
        <v>-40</v>
      </c>
      <c r="S23" s="345">
        <v>125</v>
      </c>
      <c r="T23" s="321"/>
      <c r="U23" s="321">
        <v>2400000000</v>
      </c>
      <c r="V23" s="346">
        <v>2400000000</v>
      </c>
      <c r="W23" s="804">
        <v>1</v>
      </c>
      <c r="X23" s="482">
        <v>3.0000000000000001E-3</v>
      </c>
      <c r="Y23" s="310">
        <f t="shared" si="1"/>
        <v>17</v>
      </c>
      <c r="Z23" s="310" t="str">
        <f>IF(OR($AN$18=Devices[[#This Row],[Input Type]], 0=Devices[[#This Row],[Input Type]]),Devices[[#This Row],[Row Num]], " ")</f>
        <v xml:space="preserve"> </v>
      </c>
      <c r="AA23" s="310" t="str">
        <f>IF(OR($AN$19=Devices[[#This Row],[Input Type]], 0=Devices[[#This Row],[Input Type]]),Devices[[#This Row],[Row Num]], " ")</f>
        <v xml:space="preserve"> </v>
      </c>
      <c r="AB23" s="310">
        <f>IF(OR($AN$20=Devices[[#This Row],[Input Type]], 0=Devices[[#This Row],[Input Type]]),Devices[[#This Row],[Row Num]], " ")</f>
        <v>17</v>
      </c>
      <c r="AC23" s="310" t="str">
        <f>IF(0=Devices[[#This Row],[Input Type]], Devices[[#This Row],[Row Num]], " ")</f>
        <v xml:space="preserve"> </v>
      </c>
      <c r="AD23" s="310">
        <f>IFERROR(SMALL(Devices[Row Sel D], Devices[[#This Row],[Row Num]]), " ")</f>
        <v>23</v>
      </c>
      <c r="AE23" s="310">
        <f>IFERROR(SMALL(Devices[Row Sel IntRdiv], Devices[[#This Row],[Row Num]]), " ")</f>
        <v>101</v>
      </c>
      <c r="AF23" s="310">
        <f>IFERROR(SMALL(Devices[Row Sel SE], Devices[[#This Row],[Row Num]]), " ")</f>
        <v>70</v>
      </c>
      <c r="AG23" s="310">
        <f>IFERROR(SMALL(Devices[Row Sel N], Devices[[#This Row],[Row Num]]), " ")</f>
        <v>105</v>
      </c>
      <c r="AH23" s="310" t="str">
        <f>IFERROR(INDEX(Devices[Part], Devices[[#This Row],[Sel D]], 1), "")</f>
        <v>AMC0230D-Q1</v>
      </c>
      <c r="AI23" s="310">
        <f>IFERROR(INDEX(Devices[Part], Devices[[#This Row],[Sel IntRdiv]], 1), "")</f>
        <v>0</v>
      </c>
      <c r="AJ23" s="310" t="str">
        <f>IFERROR(INDEX(Devices[Part], Devices[[#This Row],[Sel SE]], 1), "")</f>
        <v>AMC1311-Q1</v>
      </c>
      <c r="AK23" s="310">
        <f>IFERROR(INDEX(Devices[Part], Devices[[#This Row],[Sel N]], 1), "")</f>
        <v>0</v>
      </c>
      <c r="AM23" s="311"/>
    </row>
    <row r="24" spans="1:40" s="470" customFormat="1" ht="15" customHeight="1">
      <c r="A24" s="349" t="s">
        <v>487</v>
      </c>
      <c r="B24" s="331" t="s">
        <v>52</v>
      </c>
      <c r="C24" s="429" t="s">
        <v>455</v>
      </c>
      <c r="D24" s="314">
        <v>4.0000000000000002E-4</v>
      </c>
      <c r="E24" s="314">
        <v>2.5000000000000001E-3</v>
      </c>
      <c r="F24" s="315">
        <v>5</v>
      </c>
      <c r="G24" s="315">
        <v>40</v>
      </c>
      <c r="H24" s="479">
        <v>0.15</v>
      </c>
      <c r="I24" s="479">
        <v>1.5</v>
      </c>
      <c r="J24" s="317">
        <v>3</v>
      </c>
      <c r="K24" s="317">
        <v>30</v>
      </c>
      <c r="L24" s="481">
        <v>2.0000000000000002E-5</v>
      </c>
      <c r="M24" s="340">
        <v>8.0000000000000004E-4</v>
      </c>
      <c r="N24" s="315">
        <v>1</v>
      </c>
      <c r="O24" s="315">
        <v>3</v>
      </c>
      <c r="P24" s="344">
        <v>2250</v>
      </c>
      <c r="Q24" s="480">
        <v>3.3</v>
      </c>
      <c r="R24" s="345">
        <v>-40</v>
      </c>
      <c r="S24" s="345">
        <v>125</v>
      </c>
      <c r="T24" s="321"/>
      <c r="U24" s="321">
        <v>2400000000</v>
      </c>
      <c r="V24" s="346">
        <v>2400000000</v>
      </c>
      <c r="W24" s="804">
        <f>3.3/2.56</f>
        <v>1.2890625</v>
      </c>
      <c r="X24" s="482">
        <v>3.0000000000000001E-3</v>
      </c>
      <c r="Y24" s="310">
        <f t="shared" ref="Y24:Y31" si="2">ROW()-6</f>
        <v>18</v>
      </c>
      <c r="Z24" s="310" t="str">
        <f>IF(OR($AN$18=Devices[[#This Row],[Input Type]], 0=Devices[[#This Row],[Input Type]]),Devices[[#This Row],[Row Num]], " ")</f>
        <v xml:space="preserve"> </v>
      </c>
      <c r="AA24" s="310" t="str">
        <f>IF(OR($AN$19=Devices[[#This Row],[Input Type]], 0=Devices[[#This Row],[Input Type]]),Devices[[#This Row],[Row Num]], " ")</f>
        <v xml:space="preserve"> </v>
      </c>
      <c r="AB24" s="310">
        <f>IF(OR($AN$20=Devices[[#This Row],[Input Type]], 0=Devices[[#This Row],[Input Type]]),Devices[[#This Row],[Row Num]], " ")</f>
        <v>18</v>
      </c>
      <c r="AC24" s="310" t="str">
        <f>IF(0=Devices[[#This Row],[Input Type]], Devices[[#This Row],[Row Num]], " ")</f>
        <v xml:space="preserve"> </v>
      </c>
      <c r="AD24" s="310">
        <f>IFERROR(SMALL(Devices[Row Sel D], Devices[[#This Row],[Row Num]]), " ")</f>
        <v>24</v>
      </c>
      <c r="AE24" s="310">
        <f>IFERROR(SMALL(Devices[Row Sel IntRdiv], Devices[[#This Row],[Row Num]]), " ")</f>
        <v>102</v>
      </c>
      <c r="AF24" s="310">
        <f>IFERROR(SMALL(Devices[Row Sel SE], Devices[[#This Row],[Row Num]]), " ")</f>
        <v>71</v>
      </c>
      <c r="AG24" s="310">
        <f>IFERROR(SMALL(Devices[Row Sel N], Devices[[#This Row],[Row Num]]), " ")</f>
        <v>106</v>
      </c>
      <c r="AH24" s="310" t="str">
        <f>IFERROR(INDEX(Devices[Part], Devices[[#This Row],[Sel D]], 1), "")</f>
        <v>AMC0230R (Vref = 3.3V)</v>
      </c>
      <c r="AI24" s="310">
        <f>IFERROR(INDEX(Devices[Part], Devices[[#This Row],[Sel IntRdiv]], 1), "")</f>
        <v>0</v>
      </c>
      <c r="AJ24" s="310" t="str">
        <f>IFERROR(INDEX(Devices[Part], Devices[[#This Row],[Sel SE]], 1), "")</f>
        <v>AMC1311B-Q1</v>
      </c>
      <c r="AK24" s="310">
        <f>IFERROR(INDEX(Devices[Part], Devices[[#This Row],[Sel N]], 1), "")</f>
        <v>0</v>
      </c>
      <c r="AM24" s="311"/>
    </row>
    <row r="25" spans="1:40" s="470" customFormat="1" ht="15" customHeight="1">
      <c r="A25" s="349" t="s">
        <v>488</v>
      </c>
      <c r="B25" s="331" t="s">
        <v>52</v>
      </c>
      <c r="C25" s="429" t="s">
        <v>455</v>
      </c>
      <c r="D25" s="314">
        <v>4.0000000000000002E-4</v>
      </c>
      <c r="E25" s="314">
        <v>2.5000000000000001E-3</v>
      </c>
      <c r="F25" s="315">
        <v>5</v>
      </c>
      <c r="G25" s="315">
        <v>40</v>
      </c>
      <c r="H25" s="479">
        <v>0.15</v>
      </c>
      <c r="I25" s="479">
        <v>1.5</v>
      </c>
      <c r="J25" s="317">
        <v>3</v>
      </c>
      <c r="K25" s="317">
        <v>30</v>
      </c>
      <c r="L25" s="481">
        <v>2.0000000000000002E-5</v>
      </c>
      <c r="M25" s="340">
        <v>8.0000000000000004E-4</v>
      </c>
      <c r="N25" s="315">
        <v>1</v>
      </c>
      <c r="O25" s="315">
        <v>3</v>
      </c>
      <c r="P25" s="344">
        <v>2250</v>
      </c>
      <c r="Q25" s="480">
        <v>5</v>
      </c>
      <c r="R25" s="345">
        <v>-40</v>
      </c>
      <c r="S25" s="345">
        <v>125</v>
      </c>
      <c r="T25" s="321"/>
      <c r="U25" s="321">
        <v>2400000000</v>
      </c>
      <c r="V25" s="346">
        <v>2400000000</v>
      </c>
      <c r="W25" s="804">
        <v>2.5</v>
      </c>
      <c r="X25" s="482">
        <v>3.0000000000000001E-3</v>
      </c>
      <c r="Y25" s="310">
        <f t="shared" si="2"/>
        <v>19</v>
      </c>
      <c r="Z25" s="310" t="str">
        <f>IF(OR($AN$18=Devices[[#This Row],[Input Type]], 0=Devices[[#This Row],[Input Type]]),Devices[[#This Row],[Row Num]], " ")</f>
        <v xml:space="preserve"> </v>
      </c>
      <c r="AA25" s="310" t="str">
        <f>IF(OR($AN$19=Devices[[#This Row],[Input Type]], 0=Devices[[#This Row],[Input Type]]),Devices[[#This Row],[Row Num]], " ")</f>
        <v xml:space="preserve"> </v>
      </c>
      <c r="AB25" s="310">
        <f>IF(OR($AN$20=Devices[[#This Row],[Input Type]], 0=Devices[[#This Row],[Input Type]]),Devices[[#This Row],[Row Num]], " ")</f>
        <v>19</v>
      </c>
      <c r="AC25" s="310" t="str">
        <f>IF(0=Devices[[#This Row],[Input Type]], Devices[[#This Row],[Row Num]], " ")</f>
        <v xml:space="preserve"> </v>
      </c>
      <c r="AD25" s="310">
        <f>IFERROR(SMALL(Devices[Row Sel D], Devices[[#This Row],[Row Num]]), " ")</f>
        <v>25</v>
      </c>
      <c r="AE25" s="310">
        <f>IFERROR(SMALL(Devices[Row Sel IntRdiv], Devices[[#This Row],[Row Num]]), " ")</f>
        <v>103</v>
      </c>
      <c r="AF25" s="310">
        <f>IFERROR(SMALL(Devices[Row Sel SE], Devices[[#This Row],[Row Num]]), " ")</f>
        <v>73</v>
      </c>
      <c r="AG25" s="310">
        <f>IFERROR(SMALL(Devices[Row Sel N], Devices[[#This Row],[Row Num]]), " ")</f>
        <v>107</v>
      </c>
      <c r="AH25" s="310" t="str">
        <f>IFERROR(INDEX(Devices[Part], Devices[[#This Row],[Sel D]], 1), "")</f>
        <v>AMC0230R (Vref = 5V)</v>
      </c>
      <c r="AI25" s="310">
        <f>IFERROR(INDEX(Devices[Part], Devices[[#This Row],[Sel IntRdiv]], 1), "")</f>
        <v>0</v>
      </c>
      <c r="AJ25" s="310" t="str">
        <f>IFERROR(INDEX(Devices[Part], Devices[[#This Row],[Sel SE]], 1), "")</f>
        <v>AMC1351</v>
      </c>
      <c r="AK25" s="310">
        <f>IFERROR(INDEX(Devices[Part], Devices[[#This Row],[Sel N]], 1), "")</f>
        <v>0</v>
      </c>
      <c r="AM25" s="311"/>
    </row>
    <row r="26" spans="1:40" s="470" customFormat="1" ht="15" customHeight="1">
      <c r="A26" s="349" t="s">
        <v>489</v>
      </c>
      <c r="B26" s="331" t="s">
        <v>52</v>
      </c>
      <c r="C26" s="429" t="s">
        <v>52</v>
      </c>
      <c r="D26" s="314">
        <v>4.0000000000000002E-4</v>
      </c>
      <c r="E26" s="314">
        <v>2.5000000000000001E-3</v>
      </c>
      <c r="F26" s="315">
        <v>5</v>
      </c>
      <c r="G26" s="315">
        <v>50</v>
      </c>
      <c r="H26" s="479">
        <v>0.15</v>
      </c>
      <c r="I26" s="479">
        <v>1</v>
      </c>
      <c r="J26" s="317">
        <v>3</v>
      </c>
      <c r="K26" s="317">
        <v>30</v>
      </c>
      <c r="L26" s="481">
        <v>2.0000000000000002E-5</v>
      </c>
      <c r="M26" s="314">
        <v>8.0000000000000004E-4</v>
      </c>
      <c r="N26" s="315">
        <v>1</v>
      </c>
      <c r="O26" s="315">
        <v>3</v>
      </c>
      <c r="P26" s="344">
        <v>2250</v>
      </c>
      <c r="Q26" s="480">
        <v>2.25</v>
      </c>
      <c r="R26" s="345">
        <v>-40</v>
      </c>
      <c r="S26" s="345">
        <v>125</v>
      </c>
      <c r="T26" s="321"/>
      <c r="U26" s="321">
        <v>2400000000</v>
      </c>
      <c r="V26" s="321">
        <v>2400000000</v>
      </c>
      <c r="W26" s="804">
        <v>1</v>
      </c>
      <c r="X26" s="482">
        <v>3.0000000000000001E-3</v>
      </c>
      <c r="Y26" s="310">
        <f t="shared" si="2"/>
        <v>20</v>
      </c>
      <c r="Z26" s="310" t="str">
        <f>IF(OR($AN$18=Devices[[#This Row],[Input Type]], 0=Devices[[#This Row],[Input Type]]),Devices[[#This Row],[Row Num]], " ")</f>
        <v xml:space="preserve"> </v>
      </c>
      <c r="AA26" s="310" t="str">
        <f>IF(OR($AN$19=Devices[[#This Row],[Input Type]], 0=Devices[[#This Row],[Input Type]]),Devices[[#This Row],[Row Num]], " ")</f>
        <v xml:space="preserve"> </v>
      </c>
      <c r="AB26" s="310">
        <f>IF(OR($AN$20=Devices[[#This Row],[Input Type]], 0=Devices[[#This Row],[Input Type]]),Devices[[#This Row],[Row Num]], " ")</f>
        <v>20</v>
      </c>
      <c r="AC26" s="310" t="str">
        <f>IF(0=Devices[[#This Row],[Input Type]], Devices[[#This Row],[Row Num]], " ")</f>
        <v xml:space="preserve"> </v>
      </c>
      <c r="AD26" s="310">
        <f>IFERROR(SMALL(Devices[Row Sel D], Devices[[#This Row],[Row Num]]), " ")</f>
        <v>26</v>
      </c>
      <c r="AE26" s="310">
        <f>IFERROR(SMALL(Devices[Row Sel IntRdiv], Devices[[#This Row],[Row Num]]), " ")</f>
        <v>104</v>
      </c>
      <c r="AF26" s="310">
        <f>IFERROR(SMALL(Devices[Row Sel SE], Devices[[#This Row],[Row Num]]), " ")</f>
        <v>75</v>
      </c>
      <c r="AG26" s="310">
        <f>IFERROR(SMALL(Devices[Row Sel N], Devices[[#This Row],[Row Num]]), " ")</f>
        <v>108</v>
      </c>
      <c r="AH26" s="310" t="str">
        <f>IFERROR(INDEX(Devices[Part], Devices[[#This Row],[Sel D]], 1), "")</f>
        <v>AMC0230R-Q1 (Vref = 3.3V)</v>
      </c>
      <c r="AI26" s="310">
        <f>IFERROR(INDEX(Devices[Part], Devices[[#This Row],[Sel IntRdiv]], 1), "")</f>
        <v>0</v>
      </c>
      <c r="AJ26" s="310" t="str">
        <f>IFERROR(INDEX(Devices[Part], Devices[[#This Row],[Sel SE]], 1), "")</f>
        <v>AMC1411</v>
      </c>
      <c r="AK26" s="310">
        <f>IFERROR(INDEX(Devices[Part], Devices[[#This Row],[Sel N]], 1), "")</f>
        <v>0</v>
      </c>
      <c r="AM26" s="311"/>
    </row>
    <row r="27" spans="1:40" s="470" customFormat="1" ht="15" customHeight="1">
      <c r="A27" s="349" t="s">
        <v>490</v>
      </c>
      <c r="B27" s="331" t="s">
        <v>52</v>
      </c>
      <c r="C27" s="429" t="s">
        <v>52</v>
      </c>
      <c r="D27" s="314">
        <v>4.0000000000000002E-4</v>
      </c>
      <c r="E27" s="314">
        <v>2.5000000000000001E-3</v>
      </c>
      <c r="F27" s="315">
        <v>5</v>
      </c>
      <c r="G27" s="315">
        <v>50</v>
      </c>
      <c r="H27" s="479">
        <v>0.15</v>
      </c>
      <c r="I27" s="479">
        <v>1</v>
      </c>
      <c r="J27" s="317">
        <v>3</v>
      </c>
      <c r="K27" s="317">
        <v>30</v>
      </c>
      <c r="L27" s="481">
        <v>2.0000000000000002E-5</v>
      </c>
      <c r="M27" s="314">
        <v>8.0000000000000004E-4</v>
      </c>
      <c r="N27" s="315">
        <v>1</v>
      </c>
      <c r="O27" s="315">
        <v>3</v>
      </c>
      <c r="P27" s="344">
        <v>2250</v>
      </c>
      <c r="Q27" s="480">
        <v>2.25</v>
      </c>
      <c r="R27" s="345">
        <v>-40</v>
      </c>
      <c r="S27" s="345">
        <v>125</v>
      </c>
      <c r="T27" s="321"/>
      <c r="U27" s="321">
        <v>2400000000</v>
      </c>
      <c r="V27" s="321">
        <v>2400000000</v>
      </c>
      <c r="W27" s="804">
        <v>1</v>
      </c>
      <c r="X27" s="482">
        <v>3.0000000000000001E-3</v>
      </c>
      <c r="Y27" s="310">
        <f t="shared" si="2"/>
        <v>21</v>
      </c>
      <c r="Z27" s="310" t="str">
        <f>IF(OR($AN$18=Devices[[#This Row],[Input Type]], 0=Devices[[#This Row],[Input Type]]),Devices[[#This Row],[Row Num]], " ")</f>
        <v xml:space="preserve"> </v>
      </c>
      <c r="AA27" s="310" t="str">
        <f>IF(OR($AN$19=Devices[[#This Row],[Input Type]], 0=Devices[[#This Row],[Input Type]]),Devices[[#This Row],[Row Num]], " ")</f>
        <v xml:space="preserve"> </v>
      </c>
      <c r="AB27" s="310">
        <f>IF(OR($AN$20=Devices[[#This Row],[Input Type]], 0=Devices[[#This Row],[Input Type]]),Devices[[#This Row],[Row Num]], " ")</f>
        <v>21</v>
      </c>
      <c r="AC27" s="310" t="str">
        <f>IF(0=Devices[[#This Row],[Input Type]], Devices[[#This Row],[Row Num]], " ")</f>
        <v xml:space="preserve"> </v>
      </c>
      <c r="AD27" s="310">
        <f>IFERROR(SMALL(Devices[Row Sel D], Devices[[#This Row],[Row Num]]), " ")</f>
        <v>27</v>
      </c>
      <c r="AE27" s="310">
        <f>IFERROR(SMALL(Devices[Row Sel IntRdiv], Devices[[#This Row],[Row Num]]), " ")</f>
        <v>105</v>
      </c>
      <c r="AF27" s="310">
        <f>IFERROR(SMALL(Devices[Row Sel SE], Devices[[#This Row],[Row Num]]), " ")</f>
        <v>80</v>
      </c>
      <c r="AG27" s="310">
        <f>IFERROR(SMALL(Devices[Row Sel N], Devices[[#This Row],[Row Num]]), " ")</f>
        <v>109</v>
      </c>
      <c r="AH27" s="310" t="str">
        <f>IFERROR(INDEX(Devices[Part], Devices[[#This Row],[Sel D]], 1), "")</f>
        <v>AMC0230R-Q1 (Vref = 5V)</v>
      </c>
      <c r="AI27" s="310">
        <f>IFERROR(INDEX(Devices[Part], Devices[[#This Row],[Sel IntRdiv]], 1), "")</f>
        <v>0</v>
      </c>
      <c r="AJ27" s="310" t="str">
        <f>IFERROR(INDEX(Devices[Part], Devices[[#This Row],[Sel SE]], 1), "")</f>
        <v>AMC3311</v>
      </c>
      <c r="AK27" s="310">
        <f>IFERROR(INDEX(Devices[Part], Devices[[#This Row],[Sel N]], 1), "")</f>
        <v>0</v>
      </c>
      <c r="AM27" s="311"/>
    </row>
    <row r="28" spans="1:40" s="470" customFormat="1" ht="15" customHeight="1">
      <c r="A28" s="349" t="s">
        <v>491</v>
      </c>
      <c r="B28" s="331" t="s">
        <v>51</v>
      </c>
      <c r="C28" s="429" t="s">
        <v>51</v>
      </c>
      <c r="D28" s="314">
        <v>4.0000000000000002E-4</v>
      </c>
      <c r="E28" s="314">
        <v>2.5000000000000001E-3</v>
      </c>
      <c r="F28" s="315">
        <v>5</v>
      </c>
      <c r="G28" s="315">
        <v>40</v>
      </c>
      <c r="H28" s="479">
        <v>0.1</v>
      </c>
      <c r="I28" s="479">
        <v>0.8</v>
      </c>
      <c r="J28" s="317">
        <v>1</v>
      </c>
      <c r="K28" s="317">
        <v>10</v>
      </c>
      <c r="L28" s="314">
        <v>1E-4</v>
      </c>
      <c r="M28" s="314">
        <v>2.5000000000000001E-4</v>
      </c>
      <c r="N28" s="315">
        <v>1</v>
      </c>
      <c r="O28" s="315">
        <v>3</v>
      </c>
      <c r="P28" s="344">
        <v>1000</v>
      </c>
      <c r="Q28" s="480">
        <v>2</v>
      </c>
      <c r="R28" s="345">
        <v>-40</v>
      </c>
      <c r="S28" s="345">
        <v>125</v>
      </c>
      <c r="T28" s="321"/>
      <c r="U28" s="321">
        <v>2400000000</v>
      </c>
      <c r="V28" s="321">
        <v>2400000000</v>
      </c>
      <c r="W28" s="804">
        <v>2</v>
      </c>
      <c r="X28" s="379">
        <v>0.01</v>
      </c>
      <c r="Y28" s="310">
        <f t="shared" si="2"/>
        <v>22</v>
      </c>
      <c r="Z28" s="310">
        <f>IF(OR($AN$18=Devices[[#This Row],[Input Type]], 0=Devices[[#This Row],[Input Type]]),Devices[[#This Row],[Row Num]], " ")</f>
        <v>22</v>
      </c>
      <c r="AA28" s="310" t="str">
        <f>IF(OR($AN$19=Devices[[#This Row],[Input Type]], 0=Devices[[#This Row],[Input Type]]),Devices[[#This Row],[Row Num]], " ")</f>
        <v xml:space="preserve"> </v>
      </c>
      <c r="AB28" s="310" t="str">
        <f>IF(OR($AN$20=Devices[[#This Row],[Input Type]], 0=Devices[[#This Row],[Input Type]]),Devices[[#This Row],[Row Num]], " ")</f>
        <v xml:space="preserve"> </v>
      </c>
      <c r="AC28" s="310" t="str">
        <f>IF(0=Devices[[#This Row],[Input Type]], Devices[[#This Row],[Row Num]], " ")</f>
        <v xml:space="preserve"> </v>
      </c>
      <c r="AD28" s="310">
        <f>IFERROR(SMALL(Devices[Row Sel D], Devices[[#This Row],[Row Num]]), " ")</f>
        <v>28</v>
      </c>
      <c r="AE28" s="310">
        <f>IFERROR(SMALL(Devices[Row Sel IntRdiv], Devices[[#This Row],[Row Num]]), " ")</f>
        <v>106</v>
      </c>
      <c r="AF28" s="310">
        <f>IFERROR(SMALL(Devices[Row Sel SE], Devices[[#This Row],[Row Num]]), " ")</f>
        <v>81</v>
      </c>
      <c r="AG28" s="310">
        <f>IFERROR(SMALL(Devices[Row Sel N], Devices[[#This Row],[Row Num]]), " ")</f>
        <v>110</v>
      </c>
      <c r="AH28" s="310" t="str">
        <f>IFERROR(INDEX(Devices[Part], Devices[[#This Row],[Sel D]], 1), "")</f>
        <v>AMC0230S</v>
      </c>
      <c r="AI28" s="310">
        <f>IFERROR(INDEX(Devices[Part], Devices[[#This Row],[Sel IntRdiv]], 1), "")</f>
        <v>0</v>
      </c>
      <c r="AJ28" s="310" t="str">
        <f>IFERROR(INDEX(Devices[Part], Devices[[#This Row],[Sel SE]], 1), "")</f>
        <v>AMC3311-Q1</v>
      </c>
      <c r="AK28" s="310">
        <f>IFERROR(INDEX(Devices[Part], Devices[[#This Row],[Sel N]], 1), "")</f>
        <v>0</v>
      </c>
      <c r="AM28" s="311"/>
    </row>
    <row r="29" spans="1:40" s="470" customFormat="1" ht="15" customHeight="1">
      <c r="A29" s="349" t="s">
        <v>492</v>
      </c>
      <c r="B29" s="331" t="s">
        <v>51</v>
      </c>
      <c r="C29" s="429" t="s">
        <v>51</v>
      </c>
      <c r="D29" s="314">
        <v>4.0000000000000002E-4</v>
      </c>
      <c r="E29" s="314">
        <v>2.5000000000000001E-3</v>
      </c>
      <c r="F29" s="315">
        <v>5</v>
      </c>
      <c r="G29" s="315">
        <v>40</v>
      </c>
      <c r="H29" s="479">
        <v>0.1</v>
      </c>
      <c r="I29" s="479">
        <v>0.8</v>
      </c>
      <c r="J29" s="317">
        <v>1</v>
      </c>
      <c r="K29" s="317">
        <v>10</v>
      </c>
      <c r="L29" s="314">
        <v>1E-4</v>
      </c>
      <c r="M29" s="314">
        <v>2.5000000000000001E-4</v>
      </c>
      <c r="N29" s="315">
        <v>1</v>
      </c>
      <c r="O29" s="315">
        <v>3</v>
      </c>
      <c r="P29" s="344">
        <v>1000</v>
      </c>
      <c r="Q29" s="480">
        <v>2</v>
      </c>
      <c r="R29" s="345">
        <v>-40</v>
      </c>
      <c r="S29" s="345">
        <v>125</v>
      </c>
      <c r="T29" s="321"/>
      <c r="U29" s="321">
        <v>2400000000</v>
      </c>
      <c r="V29" s="321">
        <v>2400000000</v>
      </c>
      <c r="W29" s="804">
        <v>2</v>
      </c>
      <c r="X29" s="379">
        <v>0.01</v>
      </c>
      <c r="Y29" s="310">
        <f t="shared" si="2"/>
        <v>23</v>
      </c>
      <c r="Z29" s="310">
        <f>IF(OR($AN$18=Devices[[#This Row],[Input Type]], 0=Devices[[#This Row],[Input Type]]),Devices[[#This Row],[Row Num]], " ")</f>
        <v>23</v>
      </c>
      <c r="AA29" s="310" t="str">
        <f>IF(OR($AN$19=Devices[[#This Row],[Input Type]], 0=Devices[[#This Row],[Input Type]]),Devices[[#This Row],[Row Num]], " ")</f>
        <v xml:space="preserve"> </v>
      </c>
      <c r="AB29" s="310" t="str">
        <f>IF(OR($AN$20=Devices[[#This Row],[Input Type]], 0=Devices[[#This Row],[Input Type]]),Devices[[#This Row],[Row Num]], " ")</f>
        <v xml:space="preserve"> </v>
      </c>
      <c r="AC29" s="310" t="str">
        <f>IF(0=Devices[[#This Row],[Input Type]], Devices[[#This Row],[Row Num]], " ")</f>
        <v xml:space="preserve"> </v>
      </c>
      <c r="AD29" s="310">
        <f>IFERROR(SMALL(Devices[Row Sel D], Devices[[#This Row],[Row Num]]), " ")</f>
        <v>29</v>
      </c>
      <c r="AE29" s="310">
        <f>IFERROR(SMALL(Devices[Row Sel IntRdiv], Devices[[#This Row],[Row Num]]), " ")</f>
        <v>107</v>
      </c>
      <c r="AF29" s="310">
        <f>IFERROR(SMALL(Devices[Row Sel SE], Devices[[#This Row],[Row Num]]), " ")</f>
        <v>84</v>
      </c>
      <c r="AG29" s="310">
        <f>IFERROR(SMALL(Devices[Row Sel N], Devices[[#This Row],[Row Num]]), " ")</f>
        <v>111</v>
      </c>
      <c r="AH29" s="310" t="str">
        <f>IFERROR(INDEX(Devices[Part], Devices[[#This Row],[Sel D]], 1), "")</f>
        <v>AMC0230S-Q1</v>
      </c>
      <c r="AI29" s="310">
        <f>IFERROR(INDEX(Devices[Part], Devices[[#This Row],[Sel IntRdiv]], 1), "")</f>
        <v>0</v>
      </c>
      <c r="AJ29" s="310" t="str">
        <f>IFERROR(INDEX(Devices[Part], Devices[[#This Row],[Sel SE]], 1), "")</f>
        <v>ISO224A</v>
      </c>
      <c r="AK29" s="310">
        <f>IFERROR(INDEX(Devices[Part], Devices[[#This Row],[Sel N]], 1), "")</f>
        <v>0</v>
      </c>
      <c r="AM29" s="311"/>
    </row>
    <row r="30" spans="1:40" s="470" customFormat="1" ht="15" customHeight="1">
      <c r="A30" s="349" t="s">
        <v>493</v>
      </c>
      <c r="B30" s="331" t="s">
        <v>51</v>
      </c>
      <c r="C30" s="429" t="s">
        <v>455</v>
      </c>
      <c r="D30" s="314">
        <v>4.0000000000000002E-4</v>
      </c>
      <c r="E30" s="314">
        <v>2.5000000000000001E-3</v>
      </c>
      <c r="F30" s="315">
        <v>5</v>
      </c>
      <c r="G30" s="315">
        <v>40</v>
      </c>
      <c r="H30" s="479">
        <v>0.01</v>
      </c>
      <c r="I30" s="479">
        <v>1.5</v>
      </c>
      <c r="J30" s="317">
        <v>2</v>
      </c>
      <c r="K30" s="317">
        <v>20</v>
      </c>
      <c r="L30" s="314">
        <v>1.2999999999999999E-4</v>
      </c>
      <c r="M30" s="314">
        <v>2.5000000000000001E-4</v>
      </c>
      <c r="N30" s="315">
        <v>1</v>
      </c>
      <c r="O30" s="315">
        <v>3</v>
      </c>
      <c r="P30" s="344">
        <v>1000</v>
      </c>
      <c r="Q30" s="480">
        <v>3.3</v>
      </c>
      <c r="R30" s="345">
        <v>-40</v>
      </c>
      <c r="S30" s="345">
        <v>125</v>
      </c>
      <c r="T30" s="321"/>
      <c r="U30" s="321">
        <v>2400000000</v>
      </c>
      <c r="V30" s="321">
        <v>2400000000</v>
      </c>
      <c r="W30" s="804">
        <v>3.3</v>
      </c>
      <c r="X30" s="379">
        <v>0.01</v>
      </c>
      <c r="Y30" s="310">
        <f t="shared" si="2"/>
        <v>24</v>
      </c>
      <c r="Z30" s="310">
        <f>IF(OR($AN$18=Devices[[#This Row],[Input Type]], 0=Devices[[#This Row],[Input Type]]),Devices[[#This Row],[Row Num]], " ")</f>
        <v>24</v>
      </c>
      <c r="AA30" s="310" t="str">
        <f>IF(OR($AN$19=Devices[[#This Row],[Input Type]], 0=Devices[[#This Row],[Input Type]]),Devices[[#This Row],[Row Num]], " ")</f>
        <v xml:space="preserve"> </v>
      </c>
      <c r="AB30" s="310" t="str">
        <f>IF(OR($AN$20=Devices[[#This Row],[Input Type]], 0=Devices[[#This Row],[Input Type]]),Devices[[#This Row],[Row Num]], " ")</f>
        <v xml:space="preserve"> </v>
      </c>
      <c r="AC30" s="310" t="str">
        <f>IF(0=Devices[[#This Row],[Input Type]], Devices[[#This Row],[Row Num]], " ")</f>
        <v xml:space="preserve"> </v>
      </c>
      <c r="AD30" s="310">
        <f>IFERROR(SMALL(Devices[Row Sel D], Devices[[#This Row],[Row Num]]), " ")</f>
        <v>30</v>
      </c>
      <c r="AE30" s="310">
        <f>IFERROR(SMALL(Devices[Row Sel IntRdiv], Devices[[#This Row],[Row Num]]), " ")</f>
        <v>108</v>
      </c>
      <c r="AF30" s="310">
        <f>IFERROR(SMALL(Devices[Row Sel SE], Devices[[#This Row],[Row Num]]), " ")</f>
        <v>85</v>
      </c>
      <c r="AG30" s="310">
        <f>IFERROR(SMALL(Devices[Row Sel N], Devices[[#This Row],[Row Num]]), " ")</f>
        <v>112</v>
      </c>
      <c r="AH30" s="310" t="str">
        <f>IFERROR(INDEX(Devices[Part], Devices[[#This Row],[Sel D]], 1), "")</f>
        <v>AMC0300D</v>
      </c>
      <c r="AI30" s="310">
        <f>IFERROR(INDEX(Devices[Part], Devices[[#This Row],[Sel IntRdiv]], 1), "")</f>
        <v>0</v>
      </c>
      <c r="AJ30" s="310" t="str">
        <f>IFERROR(INDEX(Devices[Part], Devices[[#This Row],[Sel SE]], 1), "")</f>
        <v>ISO224B</v>
      </c>
      <c r="AK30" s="310">
        <f>IFERROR(INDEX(Devices[Part], Devices[[#This Row],[Sel N]], 1), "")</f>
        <v>0</v>
      </c>
      <c r="AM30" s="311"/>
    </row>
    <row r="31" spans="1:40" s="470" customFormat="1" ht="15" customHeight="1">
      <c r="A31" s="349" t="s">
        <v>494</v>
      </c>
      <c r="B31" s="331" t="s">
        <v>51</v>
      </c>
      <c r="C31" s="429" t="s">
        <v>455</v>
      </c>
      <c r="D31" s="314">
        <v>4.0000000000000002E-4</v>
      </c>
      <c r="E31" s="314">
        <v>2.5000000000000001E-3</v>
      </c>
      <c r="F31" s="315">
        <v>5</v>
      </c>
      <c r="G31" s="315">
        <v>40</v>
      </c>
      <c r="H31" s="479">
        <v>0.01</v>
      </c>
      <c r="I31" s="479">
        <v>1.5</v>
      </c>
      <c r="J31" s="317">
        <v>2</v>
      </c>
      <c r="K31" s="317">
        <v>20</v>
      </c>
      <c r="L31" s="314">
        <v>1.2999999999999999E-4</v>
      </c>
      <c r="M31" s="314">
        <v>2.5000000000000001E-4</v>
      </c>
      <c r="N31" s="315">
        <v>1</v>
      </c>
      <c r="O31" s="315">
        <v>3</v>
      </c>
      <c r="P31" s="344">
        <v>1000</v>
      </c>
      <c r="Q31" s="480">
        <v>5</v>
      </c>
      <c r="R31" s="345">
        <v>-40</v>
      </c>
      <c r="S31" s="345">
        <v>125</v>
      </c>
      <c r="T31" s="321"/>
      <c r="U31" s="321">
        <v>2400000000</v>
      </c>
      <c r="V31" s="321">
        <v>2400000000</v>
      </c>
      <c r="W31" s="804">
        <v>5</v>
      </c>
      <c r="X31" s="379">
        <v>0.01</v>
      </c>
      <c r="Y31" s="310">
        <f t="shared" si="2"/>
        <v>25</v>
      </c>
      <c r="Z31" s="310">
        <f>IF(OR($AN$18=Devices[[#This Row],[Input Type]], 0=Devices[[#This Row],[Input Type]]),Devices[[#This Row],[Row Num]], " ")</f>
        <v>25</v>
      </c>
      <c r="AA31" s="310" t="str">
        <f>IF(OR($AN$19=Devices[[#This Row],[Input Type]], 0=Devices[[#This Row],[Input Type]]),Devices[[#This Row],[Row Num]], " ")</f>
        <v xml:space="preserve"> </v>
      </c>
      <c r="AB31" s="310" t="str">
        <f>IF(OR($AN$20=Devices[[#This Row],[Input Type]], 0=Devices[[#This Row],[Input Type]]),Devices[[#This Row],[Row Num]], " ")</f>
        <v xml:space="preserve"> </v>
      </c>
      <c r="AC31" s="310" t="str">
        <f>IF(0=Devices[[#This Row],[Input Type]], Devices[[#This Row],[Row Num]], " ")</f>
        <v xml:space="preserve"> </v>
      </c>
      <c r="AD31" s="310">
        <f>IFERROR(SMALL(Devices[Row Sel D], Devices[[#This Row],[Row Num]]), " ")</f>
        <v>31</v>
      </c>
      <c r="AE31" s="310">
        <f>IFERROR(SMALL(Devices[Row Sel IntRdiv], Devices[[#This Row],[Row Num]]), " ")</f>
        <v>109</v>
      </c>
      <c r="AF31" s="310">
        <f>IFERROR(SMALL(Devices[Row Sel SE], Devices[[#This Row],[Row Num]]), " ")</f>
        <v>90</v>
      </c>
      <c r="AG31" s="310">
        <f>IFERROR(SMALL(Devices[Row Sel N], Devices[[#This Row],[Row Num]]), " ")</f>
        <v>113</v>
      </c>
      <c r="AH31" s="310" t="str">
        <f>IFERROR(INDEX(Devices[Part], Devices[[#This Row],[Sel D]], 1), "")</f>
        <v>AMC0300D-Q1</v>
      </c>
      <c r="AI31" s="310">
        <f>IFERROR(INDEX(Devices[Part], Devices[[#This Row],[Sel IntRdiv]], 1), "")</f>
        <v>0</v>
      </c>
      <c r="AJ31" s="310">
        <f>IFERROR(INDEX(Devices[Part], Devices[[#This Row],[Sel SE]], 1), "")</f>
        <v>0</v>
      </c>
      <c r="AK31" s="310">
        <f>IFERROR(INDEX(Devices[Part], Devices[[#This Row],[Sel N]], 1), "")</f>
        <v>0</v>
      </c>
      <c r="AM31" s="311"/>
    </row>
    <row r="32" spans="1:40" s="470" customFormat="1" ht="15" customHeight="1">
      <c r="A32" s="349" t="s">
        <v>495</v>
      </c>
      <c r="B32" s="331" t="s">
        <v>51</v>
      </c>
      <c r="C32" s="429" t="s">
        <v>455</v>
      </c>
      <c r="D32" s="314">
        <v>4.0000000000000002E-4</v>
      </c>
      <c r="E32" s="314">
        <v>2.5000000000000001E-3</v>
      </c>
      <c r="F32" s="315">
        <v>5</v>
      </c>
      <c r="G32" s="315">
        <v>40</v>
      </c>
      <c r="H32" s="479">
        <v>0.01</v>
      </c>
      <c r="I32" s="479">
        <v>1.5</v>
      </c>
      <c r="J32" s="317">
        <v>2</v>
      </c>
      <c r="K32" s="317">
        <v>20</v>
      </c>
      <c r="L32" s="314">
        <v>1.2999999999999999E-4</v>
      </c>
      <c r="M32" s="314">
        <v>2.5000000000000001E-4</v>
      </c>
      <c r="N32" s="315">
        <v>1</v>
      </c>
      <c r="O32" s="315">
        <v>3</v>
      </c>
      <c r="P32" s="344">
        <v>1000</v>
      </c>
      <c r="Q32" s="480">
        <v>3.3</v>
      </c>
      <c r="R32" s="345">
        <v>-40</v>
      </c>
      <c r="S32" s="345">
        <v>125</v>
      </c>
      <c r="T32" s="321"/>
      <c r="U32" s="321">
        <v>2400000000</v>
      </c>
      <c r="V32" s="321">
        <v>2400000000</v>
      </c>
      <c r="W32" s="804">
        <v>3.3</v>
      </c>
      <c r="X32" s="379">
        <v>0.01</v>
      </c>
      <c r="Y32" s="310">
        <f t="shared" ref="Y32:Y35" si="3">ROW()-6</f>
        <v>26</v>
      </c>
      <c r="Z32" s="310">
        <f>IF(OR($AN$18=Devices[[#This Row],[Input Type]], 0=Devices[[#This Row],[Input Type]]),Devices[[#This Row],[Row Num]], " ")</f>
        <v>26</v>
      </c>
      <c r="AA32" s="310" t="str">
        <f>IF(OR($AN$19=Devices[[#This Row],[Input Type]], 0=Devices[[#This Row],[Input Type]]),Devices[[#This Row],[Row Num]], " ")</f>
        <v xml:space="preserve"> </v>
      </c>
      <c r="AB32" s="310" t="str">
        <f>IF(OR($AN$20=Devices[[#This Row],[Input Type]], 0=Devices[[#This Row],[Input Type]]),Devices[[#This Row],[Row Num]], " ")</f>
        <v xml:space="preserve"> </v>
      </c>
      <c r="AC32" s="310" t="str">
        <f>IF(0=Devices[[#This Row],[Input Type]], Devices[[#This Row],[Row Num]], " ")</f>
        <v xml:space="preserve"> </v>
      </c>
      <c r="AD32" s="310">
        <f>IFERROR(SMALL(Devices[Row Sel D], Devices[[#This Row],[Row Num]]), " ")</f>
        <v>32</v>
      </c>
      <c r="AE32" s="310">
        <f>IFERROR(SMALL(Devices[Row Sel IntRdiv], Devices[[#This Row],[Row Num]]), " ")</f>
        <v>110</v>
      </c>
      <c r="AF32" s="310">
        <f>IFERROR(SMALL(Devices[Row Sel SE], Devices[[#This Row],[Row Num]]), " ")</f>
        <v>91</v>
      </c>
      <c r="AG32" s="310">
        <f>IFERROR(SMALL(Devices[Row Sel N], Devices[[#This Row],[Row Num]]), " ")</f>
        <v>114</v>
      </c>
      <c r="AH32" s="310" t="str">
        <f>IFERROR(INDEX(Devices[Part], Devices[[#This Row],[Sel D]], 1), "")</f>
        <v>AMC0300R (Vref = 3.3V)</v>
      </c>
      <c r="AI32" s="310">
        <f>IFERROR(INDEX(Devices[Part], Devices[[#This Row],[Sel IntRdiv]], 1), "")</f>
        <v>0</v>
      </c>
      <c r="AJ32" s="310">
        <f>IFERROR(INDEX(Devices[Part], Devices[[#This Row],[Sel SE]], 1), "")</f>
        <v>0</v>
      </c>
      <c r="AK32" s="310">
        <f>IFERROR(INDEX(Devices[Part], Devices[[#This Row],[Sel N]], 1), "")</f>
        <v>0</v>
      </c>
      <c r="AM32" s="311"/>
    </row>
    <row r="33" spans="1:39" s="470" customFormat="1" ht="15" customHeight="1">
      <c r="A33" s="349" t="s">
        <v>496</v>
      </c>
      <c r="B33" s="331" t="s">
        <v>51</v>
      </c>
      <c r="C33" s="429" t="s">
        <v>455</v>
      </c>
      <c r="D33" s="314">
        <v>4.0000000000000002E-4</v>
      </c>
      <c r="E33" s="314">
        <v>2.5000000000000001E-3</v>
      </c>
      <c r="F33" s="315">
        <v>5</v>
      </c>
      <c r="G33" s="315">
        <v>40</v>
      </c>
      <c r="H33" s="479">
        <v>0.01</v>
      </c>
      <c r="I33" s="479">
        <v>1.5</v>
      </c>
      <c r="J33" s="317">
        <v>2</v>
      </c>
      <c r="K33" s="317">
        <v>20</v>
      </c>
      <c r="L33" s="314">
        <v>1.2999999999999999E-4</v>
      </c>
      <c r="M33" s="314">
        <v>2.5000000000000001E-4</v>
      </c>
      <c r="N33" s="315">
        <v>1</v>
      </c>
      <c r="O33" s="315">
        <v>3</v>
      </c>
      <c r="P33" s="344">
        <v>1000</v>
      </c>
      <c r="Q33" s="480">
        <v>5</v>
      </c>
      <c r="R33" s="345">
        <v>-40</v>
      </c>
      <c r="S33" s="345">
        <v>125</v>
      </c>
      <c r="T33" s="321"/>
      <c r="U33" s="321">
        <v>2400000000</v>
      </c>
      <c r="V33" s="321">
        <v>2400000000</v>
      </c>
      <c r="W33" s="804">
        <v>5</v>
      </c>
      <c r="X33" s="379">
        <v>0.01</v>
      </c>
      <c r="Y33" s="310">
        <f t="shared" si="3"/>
        <v>27</v>
      </c>
      <c r="Z33" s="310">
        <f>IF(OR($AN$18=Devices[[#This Row],[Input Type]], 0=Devices[[#This Row],[Input Type]]),Devices[[#This Row],[Row Num]], " ")</f>
        <v>27</v>
      </c>
      <c r="AA33" s="310" t="str">
        <f>IF(OR($AN$19=Devices[[#This Row],[Input Type]], 0=Devices[[#This Row],[Input Type]]),Devices[[#This Row],[Row Num]], " ")</f>
        <v xml:space="preserve"> </v>
      </c>
      <c r="AB33" s="310" t="str">
        <f>IF(OR($AN$20=Devices[[#This Row],[Input Type]], 0=Devices[[#This Row],[Input Type]]),Devices[[#This Row],[Row Num]], " ")</f>
        <v xml:space="preserve"> </v>
      </c>
      <c r="AC33" s="310" t="str">
        <f>IF(0=Devices[[#This Row],[Input Type]], Devices[[#This Row],[Row Num]], " ")</f>
        <v xml:space="preserve"> </v>
      </c>
      <c r="AD33" s="310">
        <f>IFERROR(SMALL(Devices[Row Sel D], Devices[[#This Row],[Row Num]]), " ")</f>
        <v>33</v>
      </c>
      <c r="AE33" s="310">
        <f>IFERROR(SMALL(Devices[Row Sel IntRdiv], Devices[[#This Row],[Row Num]]), " ")</f>
        <v>111</v>
      </c>
      <c r="AF33" s="310">
        <f>IFERROR(SMALL(Devices[Row Sel SE], Devices[[#This Row],[Row Num]]), " ")</f>
        <v>92</v>
      </c>
      <c r="AG33" s="310">
        <f>IFERROR(SMALL(Devices[Row Sel N], Devices[[#This Row],[Row Num]]), " ")</f>
        <v>115</v>
      </c>
      <c r="AH33" s="310" t="str">
        <f>IFERROR(INDEX(Devices[Part], Devices[[#This Row],[Sel D]], 1), "")</f>
        <v>AMC0300R (Vref = 5V)</v>
      </c>
      <c r="AI33" s="310">
        <f>IFERROR(INDEX(Devices[Part], Devices[[#This Row],[Sel IntRdiv]], 1), "")</f>
        <v>0</v>
      </c>
      <c r="AJ33" s="310">
        <f>IFERROR(INDEX(Devices[Part], Devices[[#This Row],[Sel SE]], 1), "")</f>
        <v>0</v>
      </c>
      <c r="AK33" s="310">
        <f>IFERROR(INDEX(Devices[Part], Devices[[#This Row],[Sel N]], 1), "")</f>
        <v>0</v>
      </c>
      <c r="AM33" s="311"/>
    </row>
    <row r="34" spans="1:39" s="470" customFormat="1" ht="15" customHeight="1">
      <c r="A34" s="349" t="s">
        <v>497</v>
      </c>
      <c r="B34" s="331" t="s">
        <v>51</v>
      </c>
      <c r="C34" s="429" t="s">
        <v>52</v>
      </c>
      <c r="D34" s="314">
        <v>4.0000000000000002E-4</v>
      </c>
      <c r="E34" s="314">
        <v>2.5000000000000001E-3</v>
      </c>
      <c r="F34" s="315">
        <v>5</v>
      </c>
      <c r="G34" s="315">
        <v>45</v>
      </c>
      <c r="H34" s="479">
        <v>0.1</v>
      </c>
      <c r="I34" s="479">
        <v>1.2</v>
      </c>
      <c r="J34" s="317">
        <v>2</v>
      </c>
      <c r="K34" s="317">
        <v>20</v>
      </c>
      <c r="L34" s="314">
        <v>1E-4</v>
      </c>
      <c r="M34" s="314">
        <v>2.5000000000000001E-4</v>
      </c>
      <c r="N34" s="315">
        <v>1</v>
      </c>
      <c r="O34" s="315">
        <v>3</v>
      </c>
      <c r="P34" s="344">
        <v>1000</v>
      </c>
      <c r="Q34" s="480">
        <v>2</v>
      </c>
      <c r="R34" s="345">
        <v>-40</v>
      </c>
      <c r="S34" s="345">
        <v>125</v>
      </c>
      <c r="T34" s="321"/>
      <c r="U34" s="321">
        <v>2400000000</v>
      </c>
      <c r="V34" s="346">
        <v>2400000000</v>
      </c>
      <c r="W34" s="804">
        <v>2</v>
      </c>
      <c r="X34" s="379">
        <v>0.01</v>
      </c>
      <c r="Y34" s="310">
        <f t="shared" si="3"/>
        <v>28</v>
      </c>
      <c r="Z34" s="310">
        <f>IF(OR($AN$18=Devices[[#This Row],[Input Type]], 0=Devices[[#This Row],[Input Type]]),Devices[[#This Row],[Row Num]], " ")</f>
        <v>28</v>
      </c>
      <c r="AA34" s="310" t="str">
        <f>IF(OR($AN$19=Devices[[#This Row],[Input Type]], 0=Devices[[#This Row],[Input Type]]),Devices[[#This Row],[Row Num]], " ")</f>
        <v xml:space="preserve"> </v>
      </c>
      <c r="AB34" s="310" t="str">
        <f>IF(OR($AN$20=Devices[[#This Row],[Input Type]], 0=Devices[[#This Row],[Input Type]]),Devices[[#This Row],[Row Num]], " ")</f>
        <v xml:space="preserve"> </v>
      </c>
      <c r="AC34" s="310" t="str">
        <f>IF(0=Devices[[#This Row],[Input Type]], Devices[[#This Row],[Row Num]], " ")</f>
        <v xml:space="preserve"> </v>
      </c>
      <c r="AD34" s="310">
        <f>IFERROR(SMALL(Devices[Row Sel D], Devices[[#This Row],[Row Num]]), " ")</f>
        <v>34</v>
      </c>
      <c r="AE34" s="310">
        <f>IFERROR(SMALL(Devices[Row Sel IntRdiv], Devices[[#This Row],[Row Num]]), " ")</f>
        <v>112</v>
      </c>
      <c r="AF34" s="310">
        <f>IFERROR(SMALL(Devices[Row Sel SE], Devices[[#This Row],[Row Num]]), " ")</f>
        <v>93</v>
      </c>
      <c r="AG34" s="310">
        <f>IFERROR(SMALL(Devices[Row Sel N], Devices[[#This Row],[Row Num]]), " ")</f>
        <v>116</v>
      </c>
      <c r="AH34" s="310" t="str">
        <f>IFERROR(INDEX(Devices[Part], Devices[[#This Row],[Sel D]], 1), "")</f>
        <v>AMC0300R-Q1 (Vref = 3.3V)</v>
      </c>
      <c r="AI34" s="310">
        <f>IFERROR(INDEX(Devices[Part], Devices[[#This Row],[Sel IntRdiv]], 1), "")</f>
        <v>0</v>
      </c>
      <c r="AJ34" s="310">
        <f>IFERROR(INDEX(Devices[Part], Devices[[#This Row],[Sel SE]], 1), "")</f>
        <v>0</v>
      </c>
      <c r="AK34" s="310">
        <f>IFERROR(INDEX(Devices[Part], Devices[[#This Row],[Sel N]], 1), "")</f>
        <v>0</v>
      </c>
      <c r="AM34" s="311"/>
    </row>
    <row r="35" spans="1:39" s="470" customFormat="1" ht="15" customHeight="1">
      <c r="A35" s="349" t="s">
        <v>498</v>
      </c>
      <c r="B35" s="331" t="s">
        <v>51</v>
      </c>
      <c r="C35" s="429" t="s">
        <v>52</v>
      </c>
      <c r="D35" s="314">
        <v>4.0000000000000002E-4</v>
      </c>
      <c r="E35" s="314">
        <v>2.5000000000000001E-3</v>
      </c>
      <c r="F35" s="315">
        <v>5</v>
      </c>
      <c r="G35" s="315">
        <v>45</v>
      </c>
      <c r="H35" s="479">
        <v>0.1</v>
      </c>
      <c r="I35" s="479">
        <v>1.2</v>
      </c>
      <c r="J35" s="317">
        <v>2</v>
      </c>
      <c r="K35" s="317">
        <v>20</v>
      </c>
      <c r="L35" s="314">
        <v>1E-4</v>
      </c>
      <c r="M35" s="314">
        <v>2.5000000000000001E-4</v>
      </c>
      <c r="N35" s="315">
        <v>1</v>
      </c>
      <c r="O35" s="315">
        <v>3</v>
      </c>
      <c r="P35" s="344">
        <v>1000</v>
      </c>
      <c r="Q35" s="480">
        <v>2</v>
      </c>
      <c r="R35" s="345">
        <v>-40</v>
      </c>
      <c r="S35" s="345">
        <v>125</v>
      </c>
      <c r="T35" s="321"/>
      <c r="U35" s="321">
        <v>2400000000</v>
      </c>
      <c r="V35" s="346">
        <v>2400000000</v>
      </c>
      <c r="W35" s="804">
        <v>2</v>
      </c>
      <c r="X35" s="379">
        <v>0.01</v>
      </c>
      <c r="Y35" s="310">
        <f t="shared" si="3"/>
        <v>29</v>
      </c>
      <c r="Z35" s="310">
        <f>IF(OR($AN$18=Devices[[#This Row],[Input Type]], 0=Devices[[#This Row],[Input Type]]),Devices[[#This Row],[Row Num]], " ")</f>
        <v>29</v>
      </c>
      <c r="AA35" s="310" t="str">
        <f>IF(OR($AN$19=Devices[[#This Row],[Input Type]], 0=Devices[[#This Row],[Input Type]]),Devices[[#This Row],[Row Num]], " ")</f>
        <v xml:space="preserve"> </v>
      </c>
      <c r="AB35" s="310" t="str">
        <f>IF(OR($AN$20=Devices[[#This Row],[Input Type]], 0=Devices[[#This Row],[Input Type]]),Devices[[#This Row],[Row Num]], " ")</f>
        <v xml:space="preserve"> </v>
      </c>
      <c r="AC35" s="310" t="str">
        <f>IF(0=Devices[[#This Row],[Input Type]], Devices[[#This Row],[Row Num]], " ")</f>
        <v xml:space="preserve"> </v>
      </c>
      <c r="AD35" s="310">
        <f>IFERROR(SMALL(Devices[Row Sel D], Devices[[#This Row],[Row Num]]), " ")</f>
        <v>35</v>
      </c>
      <c r="AE35" s="310">
        <f>IFERROR(SMALL(Devices[Row Sel IntRdiv], Devices[[#This Row],[Row Num]]), " ")</f>
        <v>113</v>
      </c>
      <c r="AF35" s="310">
        <f>IFERROR(SMALL(Devices[Row Sel SE], Devices[[#This Row],[Row Num]]), " ")</f>
        <v>94</v>
      </c>
      <c r="AG35" s="310">
        <f>IFERROR(SMALL(Devices[Row Sel N], Devices[[#This Row],[Row Num]]), " ")</f>
        <v>117</v>
      </c>
      <c r="AH35" s="310" t="str">
        <f>IFERROR(INDEX(Devices[Part], Devices[[#This Row],[Sel D]], 1), "")</f>
        <v>AMC0300R-Q1 (Vref = 5V)</v>
      </c>
      <c r="AI35" s="310">
        <f>IFERROR(INDEX(Devices[Part], Devices[[#This Row],[Sel IntRdiv]], 1), "")</f>
        <v>0</v>
      </c>
      <c r="AJ35" s="310">
        <f>IFERROR(INDEX(Devices[Part], Devices[[#This Row],[Sel SE]], 1), "")</f>
        <v>0</v>
      </c>
      <c r="AK35" s="310">
        <f>IFERROR(INDEX(Devices[Part], Devices[[#This Row],[Sel N]], 1), "")</f>
        <v>0</v>
      </c>
      <c r="AM35" s="311"/>
    </row>
    <row r="36" spans="1:39" s="470" customFormat="1" ht="15" customHeight="1">
      <c r="A36" s="349" t="s">
        <v>499</v>
      </c>
      <c r="B36" s="331" t="s">
        <v>51</v>
      </c>
      <c r="C36" s="429" t="s">
        <v>51</v>
      </c>
      <c r="D36" s="314">
        <v>4.0000000000000002E-4</v>
      </c>
      <c r="E36" s="314">
        <v>2.5000000000000001E-3</v>
      </c>
      <c r="F36" s="315">
        <v>5</v>
      </c>
      <c r="G36" s="315">
        <v>35</v>
      </c>
      <c r="H36" s="479">
        <v>0.01</v>
      </c>
      <c r="I36" s="479">
        <v>0.2</v>
      </c>
      <c r="J36" s="317">
        <v>0.25</v>
      </c>
      <c r="K36" s="317">
        <v>2</v>
      </c>
      <c r="L36" s="314">
        <v>1.2999999999999999E-4</v>
      </c>
      <c r="M36" s="314">
        <v>4.0000000000000002E-4</v>
      </c>
      <c r="N36" s="315">
        <v>1</v>
      </c>
      <c r="O36" s="315">
        <v>3</v>
      </c>
      <c r="P36" s="344">
        <v>250</v>
      </c>
      <c r="Q36" s="480">
        <v>2.0499999999999998</v>
      </c>
      <c r="R36" s="345">
        <v>-40</v>
      </c>
      <c r="S36" s="345">
        <v>125</v>
      </c>
      <c r="T36" s="321"/>
      <c r="U36" s="321">
        <v>27500</v>
      </c>
      <c r="V36" s="346">
        <v>27500</v>
      </c>
      <c r="W36" s="804">
        <v>8.1999999999999993</v>
      </c>
      <c r="X36" s="379">
        <v>0</v>
      </c>
      <c r="Y36" s="310">
        <f>ROW()-6</f>
        <v>30</v>
      </c>
      <c r="Z36" s="310">
        <f>IF(OR($AN$18=Devices[[#This Row],[Input Type]], 0=Devices[[#This Row],[Input Type]]),Devices[[#This Row],[Row Num]], " ")</f>
        <v>30</v>
      </c>
      <c r="AA36" s="310" t="str">
        <f>IF(OR($AN$19=Devices[[#This Row],[Input Type]], 0=Devices[[#This Row],[Input Type]]),Devices[[#This Row],[Row Num]], " ")</f>
        <v xml:space="preserve"> </v>
      </c>
      <c r="AB36" s="310" t="str">
        <f>IF(OR($AN$20=Devices[[#This Row],[Input Type]], 0=Devices[[#This Row],[Input Type]]),Devices[[#This Row],[Row Num]], " ")</f>
        <v xml:space="preserve"> </v>
      </c>
      <c r="AC36" s="310" t="str">
        <f>IF(0=Devices[[#This Row],[Input Type]], Devices[[#This Row],[Row Num]], " ")</f>
        <v xml:space="preserve"> </v>
      </c>
      <c r="AD36" s="310">
        <f>IFERROR(SMALL(Devices[Row Sel D], Devices[[#This Row],[Row Num]]), " ")</f>
        <v>36</v>
      </c>
      <c r="AE36" s="310">
        <f>IFERROR(SMALL(Devices[Row Sel IntRdiv], Devices[[#This Row],[Row Num]]), " ")</f>
        <v>114</v>
      </c>
      <c r="AF36" s="310">
        <f>IFERROR(SMALL(Devices[Row Sel SE], Devices[[#This Row],[Row Num]]), " ")</f>
        <v>95</v>
      </c>
      <c r="AG36" s="310">
        <f>IFERROR(SMALL(Devices[Row Sel N], Devices[[#This Row],[Row Num]]), " ")</f>
        <v>118</v>
      </c>
      <c r="AH36" s="310" t="str">
        <f>IFERROR(INDEX(Devices[Part], Devices[[#This Row],[Sel D]], 1), "")</f>
        <v>AMC0302D</v>
      </c>
      <c r="AI36" s="310">
        <f>IFERROR(INDEX(Devices[Part], Devices[[#This Row],[Sel IntRdiv]], 1), "")</f>
        <v>0</v>
      </c>
      <c r="AJ36" s="310">
        <f>IFERROR(INDEX(Devices[Part], Devices[[#This Row],[Sel SE]], 1), "")</f>
        <v>0</v>
      </c>
      <c r="AK36" s="310">
        <f>IFERROR(INDEX(Devices[Part], Devices[[#This Row],[Sel N]], 1), "")</f>
        <v>0</v>
      </c>
      <c r="AM36" s="311"/>
    </row>
    <row r="37" spans="1:39" s="470" customFormat="1" ht="15" customHeight="1">
      <c r="A37" s="349" t="s">
        <v>500</v>
      </c>
      <c r="B37" s="331" t="s">
        <v>51</v>
      </c>
      <c r="C37" s="429" t="s">
        <v>51</v>
      </c>
      <c r="D37" s="314">
        <v>4.0000000000000002E-4</v>
      </c>
      <c r="E37" s="314">
        <v>2.5000000000000001E-3</v>
      </c>
      <c r="F37" s="315">
        <v>5</v>
      </c>
      <c r="G37" s="315">
        <v>35</v>
      </c>
      <c r="H37" s="479">
        <v>0.01</v>
      </c>
      <c r="I37" s="479">
        <v>0.2</v>
      </c>
      <c r="J37" s="317">
        <v>0.25</v>
      </c>
      <c r="K37" s="317">
        <v>2</v>
      </c>
      <c r="L37" s="314">
        <v>1.2999999999999999E-4</v>
      </c>
      <c r="M37" s="314">
        <v>4.0000000000000002E-4</v>
      </c>
      <c r="N37" s="315">
        <v>1</v>
      </c>
      <c r="O37" s="315">
        <v>3</v>
      </c>
      <c r="P37" s="344">
        <v>250</v>
      </c>
      <c r="Q37" s="480">
        <v>2.0499999999999998</v>
      </c>
      <c r="R37" s="345">
        <v>-40</v>
      </c>
      <c r="S37" s="345">
        <v>125</v>
      </c>
      <c r="T37" s="321"/>
      <c r="U37" s="321">
        <v>27500</v>
      </c>
      <c r="V37" s="346">
        <v>27500</v>
      </c>
      <c r="W37" s="804">
        <v>8.1999999999999993</v>
      </c>
      <c r="X37" s="379">
        <v>0</v>
      </c>
      <c r="Y37" s="310">
        <f>ROW()-6</f>
        <v>31</v>
      </c>
      <c r="Z37" s="310">
        <f>IF(OR($AN$18=Devices[[#This Row],[Input Type]], 0=Devices[[#This Row],[Input Type]]),Devices[[#This Row],[Row Num]], " ")</f>
        <v>31</v>
      </c>
      <c r="AA37" s="310" t="str">
        <f>IF(OR($AN$19=Devices[[#This Row],[Input Type]], 0=Devices[[#This Row],[Input Type]]),Devices[[#This Row],[Row Num]], " ")</f>
        <v xml:space="preserve"> </v>
      </c>
      <c r="AB37" s="310" t="str">
        <f>IF(OR($AN$20=Devices[[#This Row],[Input Type]], 0=Devices[[#This Row],[Input Type]]),Devices[[#This Row],[Row Num]], " ")</f>
        <v xml:space="preserve"> </v>
      </c>
      <c r="AC37" s="310" t="str">
        <f>IF(0=Devices[[#This Row],[Input Type]], Devices[[#This Row],[Row Num]], " ")</f>
        <v xml:space="preserve"> </v>
      </c>
      <c r="AD37" s="310">
        <f>IFERROR(SMALL(Devices[Row Sel D], Devices[[#This Row],[Row Num]]), " ")</f>
        <v>37</v>
      </c>
      <c r="AE37" s="310">
        <f>IFERROR(SMALL(Devices[Row Sel IntRdiv], Devices[[#This Row],[Row Num]]), " ")</f>
        <v>115</v>
      </c>
      <c r="AF37" s="310">
        <f>IFERROR(SMALL(Devices[Row Sel SE], Devices[[#This Row],[Row Num]]), " ")</f>
        <v>96</v>
      </c>
      <c r="AG37" s="310">
        <f>IFERROR(SMALL(Devices[Row Sel N], Devices[[#This Row],[Row Num]]), " ")</f>
        <v>119</v>
      </c>
      <c r="AH37" s="310" t="str">
        <f>IFERROR(INDEX(Devices[Part], Devices[[#This Row],[Sel D]], 1), "")</f>
        <v>AMC0302D-Q1</v>
      </c>
      <c r="AI37" s="310">
        <f>IFERROR(INDEX(Devices[Part], Devices[[#This Row],[Sel IntRdiv]], 1), "")</f>
        <v>0</v>
      </c>
      <c r="AJ37" s="310">
        <f>IFERROR(INDEX(Devices[Part], Devices[[#This Row],[Sel SE]], 1), "")</f>
        <v>0</v>
      </c>
      <c r="AK37" s="310">
        <f>IFERROR(INDEX(Devices[Part], Devices[[#This Row],[Sel N]], 1), "")</f>
        <v>0</v>
      </c>
      <c r="AM37" s="311"/>
    </row>
    <row r="38" spans="1:39" s="470" customFormat="1" ht="15" customHeight="1">
      <c r="A38" s="349" t="s">
        <v>501</v>
      </c>
      <c r="B38" s="331" t="s">
        <v>51</v>
      </c>
      <c r="C38" s="429" t="s">
        <v>455</v>
      </c>
      <c r="D38" s="314">
        <v>4.0000000000000002E-4</v>
      </c>
      <c r="E38" s="314">
        <v>2.5000000000000001E-3</v>
      </c>
      <c r="F38" s="315">
        <v>5</v>
      </c>
      <c r="G38" s="315">
        <v>35</v>
      </c>
      <c r="H38" s="479">
        <v>0.01</v>
      </c>
      <c r="I38" s="479">
        <v>0.2</v>
      </c>
      <c r="J38" s="317">
        <v>0.25</v>
      </c>
      <c r="K38" s="317">
        <v>3</v>
      </c>
      <c r="L38" s="314">
        <v>1.2999999999999999E-4</v>
      </c>
      <c r="M38" s="314">
        <v>4.0000000000000001E-3</v>
      </c>
      <c r="N38" s="315">
        <v>1</v>
      </c>
      <c r="O38" s="315">
        <v>3</v>
      </c>
      <c r="P38" s="344">
        <v>250</v>
      </c>
      <c r="Q38" s="480">
        <v>3.3</v>
      </c>
      <c r="R38" s="345">
        <v>-40</v>
      </c>
      <c r="S38" s="345">
        <v>125</v>
      </c>
      <c r="T38" s="321"/>
      <c r="U38" s="321">
        <v>27500</v>
      </c>
      <c r="V38" s="346">
        <v>27500</v>
      </c>
      <c r="W38" s="804">
        <v>13.2</v>
      </c>
      <c r="X38" s="379">
        <v>0</v>
      </c>
      <c r="Y38" s="310">
        <f t="shared" ref="Y38:Y46" si="4">ROW()-6</f>
        <v>32</v>
      </c>
      <c r="Z38" s="310">
        <f>IF(OR($AN$18=Devices[[#This Row],[Input Type]], 0=Devices[[#This Row],[Input Type]]),Devices[[#This Row],[Row Num]], " ")</f>
        <v>32</v>
      </c>
      <c r="AA38" s="310" t="str">
        <f>IF(OR($AN$19=Devices[[#This Row],[Input Type]], 0=Devices[[#This Row],[Input Type]]),Devices[[#This Row],[Row Num]], " ")</f>
        <v xml:space="preserve"> </v>
      </c>
      <c r="AB38" s="310" t="str">
        <f>IF(OR($AN$20=Devices[[#This Row],[Input Type]], 0=Devices[[#This Row],[Input Type]]),Devices[[#This Row],[Row Num]], " ")</f>
        <v xml:space="preserve"> </v>
      </c>
      <c r="AC38" s="310" t="str">
        <f>IF(0=Devices[[#This Row],[Input Type]], Devices[[#This Row],[Row Num]], " ")</f>
        <v xml:space="preserve"> </v>
      </c>
      <c r="AD38" s="310">
        <f>IFERROR(SMALL(Devices[Row Sel D], Devices[[#This Row],[Row Num]]), " ")</f>
        <v>38</v>
      </c>
      <c r="AE38" s="310">
        <f>IFERROR(SMALL(Devices[Row Sel IntRdiv], Devices[[#This Row],[Row Num]]), " ")</f>
        <v>116</v>
      </c>
      <c r="AF38" s="310">
        <f>IFERROR(SMALL(Devices[Row Sel SE], Devices[[#This Row],[Row Num]]), " ")</f>
        <v>97</v>
      </c>
      <c r="AG38" s="310">
        <f>IFERROR(SMALL(Devices[Row Sel N], Devices[[#This Row],[Row Num]]), " ")</f>
        <v>120</v>
      </c>
      <c r="AH38" s="310" t="str">
        <f>IFERROR(INDEX(Devices[Part], Devices[[#This Row],[Sel D]], 1), "")</f>
        <v>AMC0302R (Vref = 3.3V)</v>
      </c>
      <c r="AI38" s="310">
        <f>IFERROR(INDEX(Devices[Part], Devices[[#This Row],[Sel IntRdiv]], 1), "")</f>
        <v>0</v>
      </c>
      <c r="AJ38" s="310">
        <f>IFERROR(INDEX(Devices[Part], Devices[[#This Row],[Sel SE]], 1), "")</f>
        <v>0</v>
      </c>
      <c r="AK38" s="310">
        <f>IFERROR(INDEX(Devices[Part], Devices[[#This Row],[Sel N]], 1), "")</f>
        <v>0</v>
      </c>
      <c r="AM38" s="311"/>
    </row>
    <row r="39" spans="1:39" s="470" customFormat="1" ht="15" customHeight="1">
      <c r="A39" s="349" t="s">
        <v>502</v>
      </c>
      <c r="B39" s="331" t="s">
        <v>51</v>
      </c>
      <c r="C39" s="429" t="s">
        <v>455</v>
      </c>
      <c r="D39" s="314">
        <v>4.0000000000000002E-4</v>
      </c>
      <c r="E39" s="314">
        <v>2.5000000000000001E-3</v>
      </c>
      <c r="F39" s="315">
        <v>5</v>
      </c>
      <c r="G39" s="315">
        <v>35</v>
      </c>
      <c r="H39" s="479">
        <v>0.01</v>
      </c>
      <c r="I39" s="479">
        <v>0.2</v>
      </c>
      <c r="J39" s="317">
        <v>0.25</v>
      </c>
      <c r="K39" s="317">
        <v>3</v>
      </c>
      <c r="L39" s="314">
        <v>1.2999999999999999E-4</v>
      </c>
      <c r="M39" s="314">
        <v>4.0000000000000001E-3</v>
      </c>
      <c r="N39" s="315">
        <v>1</v>
      </c>
      <c r="O39" s="315">
        <v>3</v>
      </c>
      <c r="P39" s="344">
        <v>250</v>
      </c>
      <c r="Q39" s="480">
        <v>5</v>
      </c>
      <c r="R39" s="345">
        <v>-40</v>
      </c>
      <c r="S39" s="345">
        <v>125</v>
      </c>
      <c r="T39" s="321"/>
      <c r="U39" s="321">
        <v>27500</v>
      </c>
      <c r="V39" s="346">
        <v>27500</v>
      </c>
      <c r="W39" s="804">
        <v>20</v>
      </c>
      <c r="X39" s="379">
        <v>0</v>
      </c>
      <c r="Y39" s="310">
        <f t="shared" si="4"/>
        <v>33</v>
      </c>
      <c r="Z39" s="310">
        <f>IF(OR($AN$18=Devices[[#This Row],[Input Type]], 0=Devices[[#This Row],[Input Type]]),Devices[[#This Row],[Row Num]], " ")</f>
        <v>33</v>
      </c>
      <c r="AA39" s="310" t="str">
        <f>IF(OR($AN$19=Devices[[#This Row],[Input Type]], 0=Devices[[#This Row],[Input Type]]),Devices[[#This Row],[Row Num]], " ")</f>
        <v xml:space="preserve"> </v>
      </c>
      <c r="AB39" s="310" t="str">
        <f>IF(OR($AN$20=Devices[[#This Row],[Input Type]], 0=Devices[[#This Row],[Input Type]]),Devices[[#This Row],[Row Num]], " ")</f>
        <v xml:space="preserve"> </v>
      </c>
      <c r="AC39" s="310" t="str">
        <f>IF(0=Devices[[#This Row],[Input Type]], Devices[[#This Row],[Row Num]], " ")</f>
        <v xml:space="preserve"> </v>
      </c>
      <c r="AD39" s="310">
        <f>IFERROR(SMALL(Devices[Row Sel D], Devices[[#This Row],[Row Num]]), " ")</f>
        <v>39</v>
      </c>
      <c r="AE39" s="310">
        <f>IFERROR(SMALL(Devices[Row Sel IntRdiv], Devices[[#This Row],[Row Num]]), " ")</f>
        <v>117</v>
      </c>
      <c r="AF39" s="310">
        <f>IFERROR(SMALL(Devices[Row Sel SE], Devices[[#This Row],[Row Num]]), " ")</f>
        <v>98</v>
      </c>
      <c r="AG39" s="310">
        <f>IFERROR(SMALL(Devices[Row Sel N], Devices[[#This Row],[Row Num]]), " ")</f>
        <v>121</v>
      </c>
      <c r="AH39" s="310" t="str">
        <f>IFERROR(INDEX(Devices[Part], Devices[[#This Row],[Sel D]], 1), "")</f>
        <v>AMC0302R (Vref = 5V)</v>
      </c>
      <c r="AI39" s="310">
        <f>IFERROR(INDEX(Devices[Part], Devices[[#This Row],[Sel IntRdiv]], 1), "")</f>
        <v>0</v>
      </c>
      <c r="AJ39" s="310">
        <f>IFERROR(INDEX(Devices[Part], Devices[[#This Row],[Sel SE]], 1), "")</f>
        <v>0</v>
      </c>
      <c r="AK39" s="310">
        <f>IFERROR(INDEX(Devices[Part], Devices[[#This Row],[Sel N]], 1), "")</f>
        <v>0</v>
      </c>
      <c r="AM39" s="311"/>
    </row>
    <row r="40" spans="1:39" s="470" customFormat="1" ht="15" customHeight="1">
      <c r="A40" s="349" t="s">
        <v>503</v>
      </c>
      <c r="B40" s="331" t="s">
        <v>51</v>
      </c>
      <c r="C40" s="429" t="s">
        <v>455</v>
      </c>
      <c r="D40" s="314">
        <v>4.0000000000000002E-4</v>
      </c>
      <c r="E40" s="314">
        <v>2.5000000000000001E-3</v>
      </c>
      <c r="F40" s="315">
        <v>5</v>
      </c>
      <c r="G40" s="315">
        <v>35</v>
      </c>
      <c r="H40" s="479">
        <v>0.01</v>
      </c>
      <c r="I40" s="479">
        <v>0.2</v>
      </c>
      <c r="J40" s="317">
        <v>0.25</v>
      </c>
      <c r="K40" s="317">
        <v>3</v>
      </c>
      <c r="L40" s="314">
        <v>1.2999999999999999E-4</v>
      </c>
      <c r="M40" s="314">
        <v>4.0000000000000001E-3</v>
      </c>
      <c r="N40" s="315">
        <v>1</v>
      </c>
      <c r="O40" s="315">
        <v>3</v>
      </c>
      <c r="P40" s="344">
        <v>250</v>
      </c>
      <c r="Q40" s="480">
        <v>3.3</v>
      </c>
      <c r="R40" s="345">
        <v>-40</v>
      </c>
      <c r="S40" s="345">
        <v>125</v>
      </c>
      <c r="T40" s="321"/>
      <c r="U40" s="321">
        <v>27500</v>
      </c>
      <c r="V40" s="346">
        <v>27500</v>
      </c>
      <c r="W40" s="804">
        <v>13.2</v>
      </c>
      <c r="X40" s="379">
        <v>0</v>
      </c>
      <c r="Y40" s="310">
        <f t="shared" si="4"/>
        <v>34</v>
      </c>
      <c r="Z40" s="310">
        <f>IF(OR($AN$18=Devices[[#This Row],[Input Type]], 0=Devices[[#This Row],[Input Type]]),Devices[[#This Row],[Row Num]], " ")</f>
        <v>34</v>
      </c>
      <c r="AA40" s="310" t="str">
        <f>IF(OR($AN$19=Devices[[#This Row],[Input Type]], 0=Devices[[#This Row],[Input Type]]),Devices[[#This Row],[Row Num]], " ")</f>
        <v xml:space="preserve"> </v>
      </c>
      <c r="AB40" s="310" t="str">
        <f>IF(OR($AN$20=Devices[[#This Row],[Input Type]], 0=Devices[[#This Row],[Input Type]]),Devices[[#This Row],[Row Num]], " ")</f>
        <v xml:space="preserve"> </v>
      </c>
      <c r="AC40" s="310" t="str">
        <f>IF(0=Devices[[#This Row],[Input Type]], Devices[[#This Row],[Row Num]], " ")</f>
        <v xml:space="preserve"> </v>
      </c>
      <c r="AD40" s="310">
        <f>IFERROR(SMALL(Devices[Row Sel D], Devices[[#This Row],[Row Num]]), " ")</f>
        <v>40</v>
      </c>
      <c r="AE40" s="310">
        <f>IFERROR(SMALL(Devices[Row Sel IntRdiv], Devices[[#This Row],[Row Num]]), " ")</f>
        <v>118</v>
      </c>
      <c r="AF40" s="310">
        <f>IFERROR(SMALL(Devices[Row Sel SE], Devices[[#This Row],[Row Num]]), " ")</f>
        <v>99</v>
      </c>
      <c r="AG40" s="310">
        <f>IFERROR(SMALL(Devices[Row Sel N], Devices[[#This Row],[Row Num]]), " ")</f>
        <v>122</v>
      </c>
      <c r="AH40" s="310" t="str">
        <f>IFERROR(INDEX(Devices[Part], Devices[[#This Row],[Sel D]], 1), "")</f>
        <v>AMC0302R-Q1 (Vref = 3.3V)</v>
      </c>
      <c r="AI40" s="310">
        <f>IFERROR(INDEX(Devices[Part], Devices[[#This Row],[Sel IntRdiv]], 1), "")</f>
        <v>0</v>
      </c>
      <c r="AJ40" s="310">
        <f>IFERROR(INDEX(Devices[Part], Devices[[#This Row],[Sel SE]], 1), "")</f>
        <v>0</v>
      </c>
      <c r="AK40" s="310">
        <f>IFERROR(INDEX(Devices[Part], Devices[[#This Row],[Sel N]], 1), "")</f>
        <v>0</v>
      </c>
      <c r="AM40" s="311"/>
    </row>
    <row r="41" spans="1:39" s="470" customFormat="1" ht="15" customHeight="1">
      <c r="A41" s="349" t="s">
        <v>504</v>
      </c>
      <c r="B41" s="331" t="s">
        <v>51</v>
      </c>
      <c r="C41" s="429" t="s">
        <v>455</v>
      </c>
      <c r="D41" s="314">
        <v>4.0000000000000002E-4</v>
      </c>
      <c r="E41" s="314">
        <v>2.5000000000000001E-3</v>
      </c>
      <c r="F41" s="315">
        <v>5</v>
      </c>
      <c r="G41" s="315">
        <v>35</v>
      </c>
      <c r="H41" s="479">
        <v>0.01</v>
      </c>
      <c r="I41" s="479">
        <v>0.2</v>
      </c>
      <c r="J41" s="317">
        <v>0.25</v>
      </c>
      <c r="K41" s="317">
        <v>3</v>
      </c>
      <c r="L41" s="314">
        <v>1.2999999999999999E-4</v>
      </c>
      <c r="M41" s="314">
        <v>4.0000000000000001E-3</v>
      </c>
      <c r="N41" s="315">
        <v>1</v>
      </c>
      <c r="O41" s="315">
        <v>3</v>
      </c>
      <c r="P41" s="344">
        <v>250</v>
      </c>
      <c r="Q41" s="480">
        <v>5</v>
      </c>
      <c r="R41" s="345">
        <v>-40</v>
      </c>
      <c r="S41" s="345">
        <v>125</v>
      </c>
      <c r="T41" s="321"/>
      <c r="U41" s="321">
        <v>27500</v>
      </c>
      <c r="V41" s="346">
        <v>27500</v>
      </c>
      <c r="W41" s="804">
        <v>20</v>
      </c>
      <c r="X41" s="379">
        <v>0</v>
      </c>
      <c r="Y41" s="310">
        <f t="shared" si="4"/>
        <v>35</v>
      </c>
      <c r="Z41" s="310">
        <f>IF(OR($AN$18=Devices[[#This Row],[Input Type]], 0=Devices[[#This Row],[Input Type]]),Devices[[#This Row],[Row Num]], " ")</f>
        <v>35</v>
      </c>
      <c r="AA41" s="310" t="str">
        <f>IF(OR($AN$19=Devices[[#This Row],[Input Type]], 0=Devices[[#This Row],[Input Type]]),Devices[[#This Row],[Row Num]], " ")</f>
        <v xml:space="preserve"> </v>
      </c>
      <c r="AB41" s="310" t="str">
        <f>IF(OR($AN$20=Devices[[#This Row],[Input Type]], 0=Devices[[#This Row],[Input Type]]),Devices[[#This Row],[Row Num]], " ")</f>
        <v xml:space="preserve"> </v>
      </c>
      <c r="AC41" s="310" t="str">
        <f>IF(0=Devices[[#This Row],[Input Type]], Devices[[#This Row],[Row Num]], " ")</f>
        <v xml:space="preserve"> </v>
      </c>
      <c r="AD41" s="310">
        <f>IFERROR(SMALL(Devices[Row Sel D], Devices[[#This Row],[Row Num]]), " ")</f>
        <v>41</v>
      </c>
      <c r="AE41" s="310">
        <f>IFERROR(SMALL(Devices[Row Sel IntRdiv], Devices[[#This Row],[Row Num]]), " ")</f>
        <v>119</v>
      </c>
      <c r="AF41" s="310">
        <f>IFERROR(SMALL(Devices[Row Sel SE], Devices[[#This Row],[Row Num]]), " ")</f>
        <v>100</v>
      </c>
      <c r="AG41" s="310">
        <f>IFERROR(SMALL(Devices[Row Sel N], Devices[[#This Row],[Row Num]]), " ")</f>
        <v>123</v>
      </c>
      <c r="AH41" s="310" t="str">
        <f>IFERROR(INDEX(Devices[Part], Devices[[#This Row],[Sel D]], 1), "")</f>
        <v>AMC0302R-Q1 (Vref = 5V)</v>
      </c>
      <c r="AI41" s="310">
        <f>IFERROR(INDEX(Devices[Part], Devices[[#This Row],[Sel IntRdiv]], 1), "")</f>
        <v>0</v>
      </c>
      <c r="AJ41" s="310">
        <f>IFERROR(INDEX(Devices[Part], Devices[[#This Row],[Sel SE]], 1), "")</f>
        <v>0</v>
      </c>
      <c r="AK41" s="310">
        <f>IFERROR(INDEX(Devices[Part], Devices[[#This Row],[Sel N]], 1), "")</f>
        <v>0</v>
      </c>
      <c r="AM41" s="311"/>
    </row>
    <row r="42" spans="1:39" s="470" customFormat="1" ht="15" customHeight="1">
      <c r="A42" s="349" t="s">
        <v>505</v>
      </c>
      <c r="B42" s="331" t="s">
        <v>51</v>
      </c>
      <c r="C42" s="429" t="s">
        <v>51</v>
      </c>
      <c r="D42" s="314">
        <v>4.0000000000000002E-4</v>
      </c>
      <c r="E42" s="314">
        <v>2E-3</v>
      </c>
      <c r="F42" s="315">
        <v>5</v>
      </c>
      <c r="G42" s="315">
        <v>45</v>
      </c>
      <c r="H42" s="479">
        <v>4.0000000000000001E-3</v>
      </c>
      <c r="I42" s="479">
        <v>0.05</v>
      </c>
      <c r="J42" s="317">
        <v>0.1</v>
      </c>
      <c r="K42" s="317">
        <v>0.9</v>
      </c>
      <c r="L42" s="314">
        <v>1.2999999999999999E-4</v>
      </c>
      <c r="M42" s="314">
        <v>4.0000000000000002E-4</v>
      </c>
      <c r="N42" s="315">
        <v>1</v>
      </c>
      <c r="O42" s="315">
        <v>3</v>
      </c>
      <c r="P42" s="344">
        <v>50</v>
      </c>
      <c r="Q42" s="480">
        <v>2.0499999999999998</v>
      </c>
      <c r="R42" s="345">
        <v>-40</v>
      </c>
      <c r="S42" s="345">
        <v>125</v>
      </c>
      <c r="T42" s="321"/>
      <c r="U42" s="321">
        <v>6300</v>
      </c>
      <c r="V42" s="346">
        <v>6300</v>
      </c>
      <c r="W42" s="804">
        <v>41</v>
      </c>
      <c r="X42" s="379">
        <v>0</v>
      </c>
      <c r="Y42" s="310">
        <f t="shared" si="4"/>
        <v>36</v>
      </c>
      <c r="Z42" s="310">
        <f>IF(OR($AN$18=Devices[[#This Row],[Input Type]], 0=Devices[[#This Row],[Input Type]]),Devices[[#This Row],[Row Num]], " ")</f>
        <v>36</v>
      </c>
      <c r="AA42" s="310" t="str">
        <f>IF(OR($AN$19=Devices[[#This Row],[Input Type]], 0=Devices[[#This Row],[Input Type]]),Devices[[#This Row],[Row Num]], " ")</f>
        <v xml:space="preserve"> </v>
      </c>
      <c r="AB42" s="310" t="str">
        <f>IF(OR($AN$20=Devices[[#This Row],[Input Type]], 0=Devices[[#This Row],[Input Type]]),Devices[[#This Row],[Row Num]], " ")</f>
        <v xml:space="preserve"> </v>
      </c>
      <c r="AC42" s="310" t="str">
        <f>IF(0=Devices[[#This Row],[Input Type]], Devices[[#This Row],[Row Num]], " ")</f>
        <v xml:space="preserve"> </v>
      </c>
      <c r="AD42" s="310">
        <f>IFERROR(SMALL(Devices[Row Sel D], Devices[[#This Row],[Row Num]]), " ")</f>
        <v>48</v>
      </c>
      <c r="AE42" s="310">
        <f>IFERROR(SMALL(Devices[Row Sel IntRdiv], Devices[[#This Row],[Row Num]]), " ")</f>
        <v>120</v>
      </c>
      <c r="AF42" s="310">
        <f>IFERROR(SMALL(Devices[Row Sel SE], Devices[[#This Row],[Row Num]]), " ")</f>
        <v>101</v>
      </c>
      <c r="AG42" s="310">
        <f>IFERROR(SMALL(Devices[Row Sel N], Devices[[#This Row],[Row Num]]), " ")</f>
        <v>124</v>
      </c>
      <c r="AH42" s="310" t="str">
        <f>IFERROR(INDEX(Devices[Part], Devices[[#This Row],[Sel D]], 1), "")</f>
        <v>AMC0330D</v>
      </c>
      <c r="AI42" s="310">
        <f>IFERROR(INDEX(Devices[Part], Devices[[#This Row],[Sel IntRdiv]], 1), "")</f>
        <v>0</v>
      </c>
      <c r="AJ42" s="310">
        <f>IFERROR(INDEX(Devices[Part], Devices[[#This Row],[Sel SE]], 1), "")</f>
        <v>0</v>
      </c>
      <c r="AK42" s="310">
        <f>IFERROR(INDEX(Devices[Part], Devices[[#This Row],[Sel N]], 1), "")</f>
        <v>0</v>
      </c>
      <c r="AM42" s="311"/>
    </row>
    <row r="43" spans="1:39" s="470" customFormat="1" ht="15" customHeight="1">
      <c r="A43" s="349" t="s">
        <v>506</v>
      </c>
      <c r="B43" s="331" t="s">
        <v>51</v>
      </c>
      <c r="C43" s="429" t="s">
        <v>51</v>
      </c>
      <c r="D43" s="314">
        <v>4.0000000000000002E-4</v>
      </c>
      <c r="E43" s="314">
        <v>2E-3</v>
      </c>
      <c r="F43" s="315">
        <v>5</v>
      </c>
      <c r="G43" s="315">
        <v>45</v>
      </c>
      <c r="H43" s="479">
        <v>4.0000000000000001E-3</v>
      </c>
      <c r="I43" s="479">
        <v>0.05</v>
      </c>
      <c r="J43" s="317">
        <v>0.1</v>
      </c>
      <c r="K43" s="317">
        <v>0.9</v>
      </c>
      <c r="L43" s="314">
        <v>1.2999999999999999E-4</v>
      </c>
      <c r="M43" s="314">
        <v>4.0000000000000002E-4</v>
      </c>
      <c r="N43" s="315">
        <v>1</v>
      </c>
      <c r="O43" s="315">
        <v>3</v>
      </c>
      <c r="P43" s="344">
        <v>50</v>
      </c>
      <c r="Q43" s="480">
        <v>2.0499999999999998</v>
      </c>
      <c r="R43" s="345">
        <v>-40</v>
      </c>
      <c r="S43" s="345">
        <v>125</v>
      </c>
      <c r="T43" s="321"/>
      <c r="U43" s="321">
        <v>6300</v>
      </c>
      <c r="V43" s="346">
        <v>6300</v>
      </c>
      <c r="W43" s="804">
        <v>41</v>
      </c>
      <c r="X43" s="379">
        <v>0</v>
      </c>
      <c r="Y43" s="310">
        <f t="shared" si="4"/>
        <v>37</v>
      </c>
      <c r="Z43" s="310">
        <f>IF(OR($AN$18=Devices[[#This Row],[Input Type]], 0=Devices[[#This Row],[Input Type]]),Devices[[#This Row],[Row Num]], " ")</f>
        <v>37</v>
      </c>
      <c r="AA43" s="310" t="str">
        <f>IF(OR($AN$19=Devices[[#This Row],[Input Type]], 0=Devices[[#This Row],[Input Type]]),Devices[[#This Row],[Row Num]], " ")</f>
        <v xml:space="preserve"> </v>
      </c>
      <c r="AB43" s="310" t="str">
        <f>IF(OR($AN$20=Devices[[#This Row],[Input Type]], 0=Devices[[#This Row],[Input Type]]),Devices[[#This Row],[Row Num]], " ")</f>
        <v xml:space="preserve"> </v>
      </c>
      <c r="AC43" s="310" t="str">
        <f>IF(0=Devices[[#This Row],[Input Type]], Devices[[#This Row],[Row Num]], " ")</f>
        <v xml:space="preserve"> </v>
      </c>
      <c r="AD43" s="310">
        <f>IFERROR(SMALL(Devices[Row Sel D], Devices[[#This Row],[Row Num]]), " ")</f>
        <v>49</v>
      </c>
      <c r="AE43" s="310">
        <f>IFERROR(SMALL(Devices[Row Sel IntRdiv], Devices[[#This Row],[Row Num]]), " ")</f>
        <v>121</v>
      </c>
      <c r="AF43" s="310">
        <f>IFERROR(SMALL(Devices[Row Sel SE], Devices[[#This Row],[Row Num]]), " ")</f>
        <v>102</v>
      </c>
      <c r="AG43" s="310">
        <f>IFERROR(SMALL(Devices[Row Sel N], Devices[[#This Row],[Row Num]]), " ")</f>
        <v>125</v>
      </c>
      <c r="AH43" s="310" t="str">
        <f>IFERROR(INDEX(Devices[Part], Devices[[#This Row],[Sel D]], 1), "")</f>
        <v>AMC0330D-Q1</v>
      </c>
      <c r="AI43" s="310">
        <f>IFERROR(INDEX(Devices[Part], Devices[[#This Row],[Sel IntRdiv]], 1), "")</f>
        <v>0</v>
      </c>
      <c r="AJ43" s="310">
        <f>IFERROR(INDEX(Devices[Part], Devices[[#This Row],[Sel SE]], 1), "")</f>
        <v>0</v>
      </c>
      <c r="AK43" s="310">
        <f>IFERROR(INDEX(Devices[Part], Devices[[#This Row],[Sel N]], 1), "")</f>
        <v>0</v>
      </c>
      <c r="AM43" s="311"/>
    </row>
    <row r="44" spans="1:39" s="470" customFormat="1" ht="15" customHeight="1">
      <c r="A44" s="349" t="s">
        <v>507</v>
      </c>
      <c r="B44" s="331" t="s">
        <v>51</v>
      </c>
      <c r="C44" s="429" t="s">
        <v>455</v>
      </c>
      <c r="D44" s="314">
        <v>4.0000000000000002E-4</v>
      </c>
      <c r="E44" s="314">
        <v>2E-3</v>
      </c>
      <c r="F44" s="315">
        <v>5</v>
      </c>
      <c r="G44" s="315">
        <v>45</v>
      </c>
      <c r="H44" s="479">
        <v>4.0000000000000001E-3</v>
      </c>
      <c r="I44" s="479">
        <v>0.05</v>
      </c>
      <c r="J44" s="317">
        <v>0.15</v>
      </c>
      <c r="K44" s="317">
        <v>1</v>
      </c>
      <c r="L44" s="314">
        <v>1.3300000000000001E-4</v>
      </c>
      <c r="M44" s="314">
        <v>4.0000000000000002E-4</v>
      </c>
      <c r="N44" s="315">
        <v>1</v>
      </c>
      <c r="O44" s="315">
        <v>3</v>
      </c>
      <c r="P44" s="344">
        <v>50</v>
      </c>
      <c r="Q44" s="480">
        <v>3.3</v>
      </c>
      <c r="R44" s="345">
        <v>-40</v>
      </c>
      <c r="S44" s="345">
        <v>125</v>
      </c>
      <c r="T44" s="321"/>
      <c r="U44" s="321">
        <v>6300</v>
      </c>
      <c r="V44" s="346">
        <v>6300</v>
      </c>
      <c r="W44" s="804">
        <v>66</v>
      </c>
      <c r="X44" s="379">
        <v>0</v>
      </c>
      <c r="Y44" s="310">
        <f t="shared" si="4"/>
        <v>38</v>
      </c>
      <c r="Z44" s="310">
        <f>IF(OR($AN$18=Devices[[#This Row],[Input Type]], 0=Devices[[#This Row],[Input Type]]),Devices[[#This Row],[Row Num]], " ")</f>
        <v>38</v>
      </c>
      <c r="AA44" s="310" t="str">
        <f>IF(OR($AN$19=Devices[[#This Row],[Input Type]], 0=Devices[[#This Row],[Input Type]]),Devices[[#This Row],[Row Num]], " ")</f>
        <v xml:space="preserve"> </v>
      </c>
      <c r="AB44" s="310" t="str">
        <f>IF(OR($AN$20=Devices[[#This Row],[Input Type]], 0=Devices[[#This Row],[Input Type]]),Devices[[#This Row],[Row Num]], " ")</f>
        <v xml:space="preserve"> </v>
      </c>
      <c r="AC44" s="310" t="str">
        <f>IF(0=Devices[[#This Row],[Input Type]], Devices[[#This Row],[Row Num]], " ")</f>
        <v xml:space="preserve"> </v>
      </c>
      <c r="AD44" s="310">
        <f>IFERROR(SMALL(Devices[Row Sel D], Devices[[#This Row],[Row Num]]), " ")</f>
        <v>50</v>
      </c>
      <c r="AE44" s="310">
        <f>IFERROR(SMALL(Devices[Row Sel IntRdiv], Devices[[#This Row],[Row Num]]), " ")</f>
        <v>122</v>
      </c>
      <c r="AF44" s="310">
        <f>IFERROR(SMALL(Devices[Row Sel SE], Devices[[#This Row],[Row Num]]), " ")</f>
        <v>103</v>
      </c>
      <c r="AG44" s="310">
        <f>IFERROR(SMALL(Devices[Row Sel N], Devices[[#This Row],[Row Num]]), " ")</f>
        <v>126</v>
      </c>
      <c r="AH44" s="310" t="str">
        <f>IFERROR(INDEX(Devices[Part], Devices[[#This Row],[Sel D]], 1), "")</f>
        <v>AMC0330R (Vref = 3.3V)</v>
      </c>
      <c r="AI44" s="310">
        <f>IFERROR(INDEX(Devices[Part], Devices[[#This Row],[Sel IntRdiv]], 1), "")</f>
        <v>0</v>
      </c>
      <c r="AJ44" s="310">
        <f>IFERROR(INDEX(Devices[Part], Devices[[#This Row],[Sel SE]], 1), "")</f>
        <v>0</v>
      </c>
      <c r="AK44" s="310">
        <f>IFERROR(INDEX(Devices[Part], Devices[[#This Row],[Sel N]], 1), "")</f>
        <v>0</v>
      </c>
      <c r="AM44" s="311"/>
    </row>
    <row r="45" spans="1:39" s="470" customFormat="1" ht="15" customHeight="1">
      <c r="A45" s="349" t="s">
        <v>508</v>
      </c>
      <c r="B45" s="331" t="s">
        <v>51</v>
      </c>
      <c r="C45" s="429" t="s">
        <v>455</v>
      </c>
      <c r="D45" s="314">
        <v>4.0000000000000002E-4</v>
      </c>
      <c r="E45" s="314">
        <v>2E-3</v>
      </c>
      <c r="F45" s="315">
        <v>5</v>
      </c>
      <c r="G45" s="315">
        <v>45</v>
      </c>
      <c r="H45" s="479">
        <v>4.0000000000000001E-3</v>
      </c>
      <c r="I45" s="479">
        <v>0.05</v>
      </c>
      <c r="J45" s="317">
        <v>0.15</v>
      </c>
      <c r="K45" s="317">
        <v>1</v>
      </c>
      <c r="L45" s="314">
        <v>1.3300000000000001E-4</v>
      </c>
      <c r="M45" s="314">
        <v>4.0000000000000002E-4</v>
      </c>
      <c r="N45" s="315">
        <v>1</v>
      </c>
      <c r="O45" s="315">
        <v>3</v>
      </c>
      <c r="P45" s="344">
        <v>50</v>
      </c>
      <c r="Q45" s="480">
        <v>5</v>
      </c>
      <c r="R45" s="345">
        <v>-40</v>
      </c>
      <c r="S45" s="345">
        <v>125</v>
      </c>
      <c r="T45" s="321"/>
      <c r="U45" s="321">
        <v>6300</v>
      </c>
      <c r="V45" s="346">
        <v>6300</v>
      </c>
      <c r="W45" s="804">
        <v>100</v>
      </c>
      <c r="X45" s="379">
        <v>0</v>
      </c>
      <c r="Y45" s="310">
        <f t="shared" si="4"/>
        <v>39</v>
      </c>
      <c r="Z45" s="310">
        <f>IF(OR($AN$18=Devices[[#This Row],[Input Type]], 0=Devices[[#This Row],[Input Type]]),Devices[[#This Row],[Row Num]], " ")</f>
        <v>39</v>
      </c>
      <c r="AA45" s="310" t="str">
        <f>IF(OR($AN$19=Devices[[#This Row],[Input Type]], 0=Devices[[#This Row],[Input Type]]),Devices[[#This Row],[Row Num]], " ")</f>
        <v xml:space="preserve"> </v>
      </c>
      <c r="AB45" s="310" t="str">
        <f>IF(OR($AN$20=Devices[[#This Row],[Input Type]], 0=Devices[[#This Row],[Input Type]]),Devices[[#This Row],[Row Num]], " ")</f>
        <v xml:space="preserve"> </v>
      </c>
      <c r="AC45" s="310" t="str">
        <f>IF(0=Devices[[#This Row],[Input Type]], Devices[[#This Row],[Row Num]], " ")</f>
        <v xml:space="preserve"> </v>
      </c>
      <c r="AD45" s="310">
        <f>IFERROR(SMALL(Devices[Row Sel D], Devices[[#This Row],[Row Num]]), " ")</f>
        <v>51</v>
      </c>
      <c r="AE45" s="310">
        <f>IFERROR(SMALL(Devices[Row Sel IntRdiv], Devices[[#This Row],[Row Num]]), " ")</f>
        <v>123</v>
      </c>
      <c r="AF45" s="310">
        <f>IFERROR(SMALL(Devices[Row Sel SE], Devices[[#This Row],[Row Num]]), " ")</f>
        <v>104</v>
      </c>
      <c r="AG45" s="310">
        <f>IFERROR(SMALL(Devices[Row Sel N], Devices[[#This Row],[Row Num]]), " ")</f>
        <v>127</v>
      </c>
      <c r="AH45" s="310" t="str">
        <f>IFERROR(INDEX(Devices[Part], Devices[[#This Row],[Sel D]], 1), "")</f>
        <v>AMC0330R (Vref = 5V)</v>
      </c>
      <c r="AI45" s="310">
        <f>IFERROR(INDEX(Devices[Part], Devices[[#This Row],[Sel IntRdiv]], 1), "")</f>
        <v>0</v>
      </c>
      <c r="AJ45" s="310">
        <f>IFERROR(INDEX(Devices[Part], Devices[[#This Row],[Sel SE]], 1), "")</f>
        <v>0</v>
      </c>
      <c r="AK45" s="310">
        <f>IFERROR(INDEX(Devices[Part], Devices[[#This Row],[Sel N]], 1), "")</f>
        <v>0</v>
      </c>
      <c r="AM45" s="311"/>
    </row>
    <row r="46" spans="1:39" s="470" customFormat="1" ht="15" customHeight="1">
      <c r="A46" s="349" t="s">
        <v>509</v>
      </c>
      <c r="B46" s="331" t="s">
        <v>51</v>
      </c>
      <c r="C46" s="429" t="s">
        <v>455</v>
      </c>
      <c r="D46" s="314">
        <v>4.0000000000000002E-4</v>
      </c>
      <c r="E46" s="314">
        <v>2E-3</v>
      </c>
      <c r="F46" s="315">
        <v>5</v>
      </c>
      <c r="G46" s="315">
        <v>45</v>
      </c>
      <c r="H46" s="479">
        <v>4.0000000000000001E-3</v>
      </c>
      <c r="I46" s="479">
        <v>0.05</v>
      </c>
      <c r="J46" s="317">
        <v>0.15</v>
      </c>
      <c r="K46" s="317">
        <v>1</v>
      </c>
      <c r="L46" s="314">
        <v>1.3300000000000001E-4</v>
      </c>
      <c r="M46" s="314">
        <v>4.0000000000000002E-4</v>
      </c>
      <c r="N46" s="315">
        <v>1</v>
      </c>
      <c r="O46" s="315">
        <v>3</v>
      </c>
      <c r="P46" s="344">
        <v>50</v>
      </c>
      <c r="Q46" s="480">
        <v>3.3</v>
      </c>
      <c r="R46" s="345">
        <v>-40</v>
      </c>
      <c r="S46" s="345">
        <v>125</v>
      </c>
      <c r="T46" s="321"/>
      <c r="U46" s="321">
        <v>6300</v>
      </c>
      <c r="V46" s="346">
        <v>6300</v>
      </c>
      <c r="W46" s="804">
        <v>66</v>
      </c>
      <c r="X46" s="379">
        <v>0</v>
      </c>
      <c r="Y46" s="310">
        <f t="shared" si="4"/>
        <v>40</v>
      </c>
      <c r="Z46" s="310">
        <f>IF(OR($AN$18=Devices[[#This Row],[Input Type]], 0=Devices[[#This Row],[Input Type]]),Devices[[#This Row],[Row Num]], " ")</f>
        <v>40</v>
      </c>
      <c r="AA46" s="310" t="str">
        <f>IF(OR($AN$19=Devices[[#This Row],[Input Type]], 0=Devices[[#This Row],[Input Type]]),Devices[[#This Row],[Row Num]], " ")</f>
        <v xml:space="preserve"> </v>
      </c>
      <c r="AB46" s="310" t="str">
        <f>IF(OR($AN$20=Devices[[#This Row],[Input Type]], 0=Devices[[#This Row],[Input Type]]),Devices[[#This Row],[Row Num]], " ")</f>
        <v xml:space="preserve"> </v>
      </c>
      <c r="AC46" s="310" t="str">
        <f>IF(0=Devices[[#This Row],[Input Type]], Devices[[#This Row],[Row Num]], " ")</f>
        <v xml:space="preserve"> </v>
      </c>
      <c r="AD46" s="310">
        <f>IFERROR(SMALL(Devices[Row Sel D], Devices[[#This Row],[Row Num]]), " ")</f>
        <v>52</v>
      </c>
      <c r="AE46" s="310">
        <f>IFERROR(SMALL(Devices[Row Sel IntRdiv], Devices[[#This Row],[Row Num]]), " ")</f>
        <v>124</v>
      </c>
      <c r="AF46" s="310">
        <f>IFERROR(SMALL(Devices[Row Sel SE], Devices[[#This Row],[Row Num]]), " ")</f>
        <v>105</v>
      </c>
      <c r="AG46" s="310" t="str">
        <f>IFERROR(SMALL(Devices[Row Sel N], Devices[[#This Row],[Row Num]]), " ")</f>
        <v xml:space="preserve"> </v>
      </c>
      <c r="AH46" s="310" t="str">
        <f>IFERROR(INDEX(Devices[Part], Devices[[#This Row],[Sel D]], 1), "")</f>
        <v>AMC0330R-Q1 (Vref = 3.3V)</v>
      </c>
      <c r="AI46" s="310">
        <f>IFERROR(INDEX(Devices[Part], Devices[[#This Row],[Sel IntRdiv]], 1), "")</f>
        <v>0</v>
      </c>
      <c r="AJ46" s="310">
        <f>IFERROR(INDEX(Devices[Part], Devices[[#This Row],[Sel SE]], 1), "")</f>
        <v>0</v>
      </c>
      <c r="AK46" s="310" t="str">
        <f>IFERROR(INDEX(Devices[Part], Devices[[#This Row],[Sel N]], 1), "")</f>
        <v/>
      </c>
      <c r="AM46" s="311"/>
    </row>
    <row r="47" spans="1:39" s="470" customFormat="1" ht="15" customHeight="1">
      <c r="A47" s="349" t="s">
        <v>510</v>
      </c>
      <c r="B47" s="331" t="s">
        <v>51</v>
      </c>
      <c r="C47" s="429" t="s">
        <v>455</v>
      </c>
      <c r="D47" s="314">
        <v>4.0000000000000002E-4</v>
      </c>
      <c r="E47" s="314">
        <v>2E-3</v>
      </c>
      <c r="F47" s="315">
        <v>5</v>
      </c>
      <c r="G47" s="315">
        <v>45</v>
      </c>
      <c r="H47" s="479">
        <v>4.0000000000000001E-3</v>
      </c>
      <c r="I47" s="479">
        <v>0.05</v>
      </c>
      <c r="J47" s="317">
        <v>0.15</v>
      </c>
      <c r="K47" s="317">
        <v>1</v>
      </c>
      <c r="L47" s="314">
        <v>1.3300000000000001E-4</v>
      </c>
      <c r="M47" s="314">
        <v>4.0000000000000002E-4</v>
      </c>
      <c r="N47" s="315">
        <v>1</v>
      </c>
      <c r="O47" s="315">
        <v>3</v>
      </c>
      <c r="P47" s="344">
        <v>50</v>
      </c>
      <c r="Q47" s="480">
        <v>5</v>
      </c>
      <c r="R47" s="345">
        <v>-40</v>
      </c>
      <c r="S47" s="345">
        <v>125</v>
      </c>
      <c r="T47" s="321"/>
      <c r="U47" s="321">
        <v>6300</v>
      </c>
      <c r="V47" s="346">
        <v>6300</v>
      </c>
      <c r="W47" s="804">
        <v>100</v>
      </c>
      <c r="X47" s="379">
        <v>0</v>
      </c>
      <c r="Y47" s="310">
        <f t="shared" ref="Y47:Y55" si="5">ROW()-6</f>
        <v>41</v>
      </c>
      <c r="Z47" s="310">
        <f>IF(OR($AN$18=Devices[[#This Row],[Input Type]], 0=Devices[[#This Row],[Input Type]]),Devices[[#This Row],[Row Num]], " ")</f>
        <v>41</v>
      </c>
      <c r="AA47" s="310" t="str">
        <f>IF(OR($AN$19=Devices[[#This Row],[Input Type]], 0=Devices[[#This Row],[Input Type]]),Devices[[#This Row],[Row Num]], " ")</f>
        <v xml:space="preserve"> </v>
      </c>
      <c r="AB47" s="310" t="str">
        <f>IF(OR($AN$20=Devices[[#This Row],[Input Type]], 0=Devices[[#This Row],[Input Type]]),Devices[[#This Row],[Row Num]], " ")</f>
        <v xml:space="preserve"> </v>
      </c>
      <c r="AC47" s="310" t="str">
        <f>IF(0=Devices[[#This Row],[Input Type]], Devices[[#This Row],[Row Num]], " ")</f>
        <v xml:space="preserve"> </v>
      </c>
      <c r="AD47" s="310">
        <f>IFERROR(SMALL(Devices[Row Sel D], Devices[[#This Row],[Row Num]]), " ")</f>
        <v>53</v>
      </c>
      <c r="AE47" s="310">
        <f>IFERROR(SMALL(Devices[Row Sel IntRdiv], Devices[[#This Row],[Row Num]]), " ")</f>
        <v>125</v>
      </c>
      <c r="AF47" s="310">
        <f>IFERROR(SMALL(Devices[Row Sel SE], Devices[[#This Row],[Row Num]]), " ")</f>
        <v>106</v>
      </c>
      <c r="AG47" s="310" t="str">
        <f>IFERROR(SMALL(Devices[Row Sel N], Devices[[#This Row],[Row Num]]), " ")</f>
        <v xml:space="preserve"> </v>
      </c>
      <c r="AH47" s="310" t="str">
        <f>IFERROR(INDEX(Devices[Part], Devices[[#This Row],[Sel D]], 1), "")</f>
        <v>AMC0330R-Q1 (Vref = 5V)</v>
      </c>
      <c r="AI47" s="310">
        <f>IFERROR(INDEX(Devices[Part], Devices[[#This Row],[Sel IntRdiv]], 1), "")</f>
        <v>0</v>
      </c>
      <c r="AJ47" s="310">
        <f>IFERROR(INDEX(Devices[Part], Devices[[#This Row],[Sel SE]], 1), "")</f>
        <v>0</v>
      </c>
      <c r="AK47" s="310" t="str">
        <f>IFERROR(INDEX(Devices[Part], Devices[[#This Row],[Sel N]], 1), "")</f>
        <v/>
      </c>
      <c r="AM47" s="311"/>
    </row>
    <row r="48" spans="1:39" s="470" customFormat="1" ht="15" customHeight="1">
      <c r="A48" s="349" t="s">
        <v>452</v>
      </c>
      <c r="B48" s="331" t="s">
        <v>52</v>
      </c>
      <c r="C48" s="429" t="s">
        <v>51</v>
      </c>
      <c r="D48" s="314">
        <v>4.0000000000000002E-4</v>
      </c>
      <c r="E48" s="314">
        <v>2.5000000000000001E-3</v>
      </c>
      <c r="F48" s="315">
        <v>5</v>
      </c>
      <c r="G48" s="315">
        <v>50</v>
      </c>
      <c r="H48" s="479">
        <v>0.1</v>
      </c>
      <c r="I48" s="479">
        <v>0.8</v>
      </c>
      <c r="J48" s="317">
        <v>1</v>
      </c>
      <c r="K48" s="317">
        <v>10</v>
      </c>
      <c r="L48" s="481">
        <v>2.0000000000000002E-5</v>
      </c>
      <c r="M48" s="481">
        <v>3.5E-4</v>
      </c>
      <c r="N48" s="315">
        <v>1</v>
      </c>
      <c r="O48" s="315">
        <v>3</v>
      </c>
      <c r="P48" s="344">
        <v>2000</v>
      </c>
      <c r="Q48" s="480">
        <v>2</v>
      </c>
      <c r="R48" s="345">
        <v>-40</v>
      </c>
      <c r="S48" s="345">
        <v>125</v>
      </c>
      <c r="T48" s="321"/>
      <c r="U48" s="321">
        <v>2400000000</v>
      </c>
      <c r="V48" s="346">
        <v>2400000000</v>
      </c>
      <c r="W48" s="804">
        <v>1</v>
      </c>
      <c r="X48" s="482">
        <v>3.0000000000000001E-3</v>
      </c>
      <c r="Y48" s="310">
        <f t="shared" si="5"/>
        <v>42</v>
      </c>
      <c r="Z48" s="310" t="str">
        <f>IF(OR($AN$18=Devices[[#This Row],[Input Type]], 0=Devices[[#This Row],[Input Type]]),Devices[[#This Row],[Row Num]], " ")</f>
        <v xml:space="preserve"> </v>
      </c>
      <c r="AA48" s="310" t="str">
        <f>IF(OR($AN$19=Devices[[#This Row],[Input Type]], 0=Devices[[#This Row],[Input Type]]),Devices[[#This Row],[Row Num]], " ")</f>
        <v xml:space="preserve"> </v>
      </c>
      <c r="AB48" s="310">
        <f>IF(OR($AN$20=Devices[[#This Row],[Input Type]], 0=Devices[[#This Row],[Input Type]]),Devices[[#This Row],[Row Num]], " ")</f>
        <v>42</v>
      </c>
      <c r="AC48" s="310" t="str">
        <f>IF(0=Devices[[#This Row],[Input Type]], Devices[[#This Row],[Row Num]], " ")</f>
        <v xml:space="preserve"> </v>
      </c>
      <c r="AD48" s="310">
        <f>IFERROR(SMALL(Devices[Row Sel D], Devices[[#This Row],[Row Num]]), " ")</f>
        <v>54</v>
      </c>
      <c r="AE48" s="310">
        <f>IFERROR(SMALL(Devices[Row Sel IntRdiv], Devices[[#This Row],[Row Num]]), " ")</f>
        <v>126</v>
      </c>
      <c r="AF48" s="310">
        <f>IFERROR(SMALL(Devices[Row Sel SE], Devices[[#This Row],[Row Num]]), " ")</f>
        <v>107</v>
      </c>
      <c r="AG48" s="310" t="str">
        <f>IFERROR(SMALL(Devices[Row Sel N], Devices[[#This Row],[Row Num]]), " ")</f>
        <v xml:space="preserve"> </v>
      </c>
      <c r="AH48" s="310" t="str">
        <f>IFERROR(INDEX(Devices[Part], Devices[[#This Row],[Sel D]], 1), "")</f>
        <v>AMC0330S</v>
      </c>
      <c r="AI48" s="310">
        <f>IFERROR(INDEX(Devices[Part], Devices[[#This Row],[Sel IntRdiv]], 1), "")</f>
        <v>0</v>
      </c>
      <c r="AJ48" s="310">
        <f>IFERROR(INDEX(Devices[Part], Devices[[#This Row],[Sel SE]], 1), "")</f>
        <v>0</v>
      </c>
      <c r="AK48" s="310" t="str">
        <f>IFERROR(INDEX(Devices[Part], Devices[[#This Row],[Sel N]], 1), "")</f>
        <v/>
      </c>
      <c r="AM48" s="311"/>
    </row>
    <row r="49" spans="1:39" s="470" customFormat="1" ht="15" customHeight="1">
      <c r="A49" s="349" t="s">
        <v>453</v>
      </c>
      <c r="B49" s="331" t="s">
        <v>52</v>
      </c>
      <c r="C49" s="429" t="s">
        <v>51</v>
      </c>
      <c r="D49" s="314">
        <v>4.0000000000000002E-4</v>
      </c>
      <c r="E49" s="314">
        <v>2.5000000000000001E-3</v>
      </c>
      <c r="F49" s="315">
        <v>5</v>
      </c>
      <c r="G49" s="315">
        <v>50</v>
      </c>
      <c r="H49" s="479">
        <v>0.1</v>
      </c>
      <c r="I49" s="479">
        <v>0.8</v>
      </c>
      <c r="J49" s="317">
        <v>1</v>
      </c>
      <c r="K49" s="317">
        <v>10</v>
      </c>
      <c r="L49" s="481">
        <v>2.0000000000000002E-5</v>
      </c>
      <c r="M49" s="481">
        <v>3.5E-4</v>
      </c>
      <c r="N49" s="315">
        <v>1</v>
      </c>
      <c r="O49" s="315">
        <v>3</v>
      </c>
      <c r="P49" s="344">
        <v>2000</v>
      </c>
      <c r="Q49" s="480">
        <v>2</v>
      </c>
      <c r="R49" s="345">
        <v>-40</v>
      </c>
      <c r="S49" s="345">
        <v>125</v>
      </c>
      <c r="T49" s="321"/>
      <c r="U49" s="321">
        <v>2400000000</v>
      </c>
      <c r="V49" s="346">
        <v>2400000000</v>
      </c>
      <c r="W49" s="804">
        <v>1</v>
      </c>
      <c r="X49" s="482">
        <v>3.0000000000000001E-3</v>
      </c>
      <c r="Y49" s="310">
        <f t="shared" si="5"/>
        <v>43</v>
      </c>
      <c r="Z49" s="310" t="str">
        <f>IF(OR($AN$18=Devices[[#This Row],[Input Type]], 0=Devices[[#This Row],[Input Type]]),Devices[[#This Row],[Row Num]], " ")</f>
        <v xml:space="preserve"> </v>
      </c>
      <c r="AA49" s="310" t="str">
        <f>IF(OR($AN$19=Devices[[#This Row],[Input Type]], 0=Devices[[#This Row],[Input Type]]),Devices[[#This Row],[Row Num]], " ")</f>
        <v xml:space="preserve"> </v>
      </c>
      <c r="AB49" s="310">
        <f>IF(OR($AN$20=Devices[[#This Row],[Input Type]], 0=Devices[[#This Row],[Input Type]]),Devices[[#This Row],[Row Num]], " ")</f>
        <v>43</v>
      </c>
      <c r="AC49" s="310" t="str">
        <f>IF(0=Devices[[#This Row],[Input Type]], Devices[[#This Row],[Row Num]], " ")</f>
        <v xml:space="preserve"> </v>
      </c>
      <c r="AD49" s="310">
        <f>IFERROR(SMALL(Devices[Row Sel D], Devices[[#This Row],[Row Num]]), " ")</f>
        <v>55</v>
      </c>
      <c r="AE49" s="310">
        <f>IFERROR(SMALL(Devices[Row Sel IntRdiv], Devices[[#This Row],[Row Num]]), " ")</f>
        <v>127</v>
      </c>
      <c r="AF49" s="310">
        <f>IFERROR(SMALL(Devices[Row Sel SE], Devices[[#This Row],[Row Num]]), " ")</f>
        <v>108</v>
      </c>
      <c r="AG49" s="310" t="str">
        <f>IFERROR(SMALL(Devices[Row Sel N], Devices[[#This Row],[Row Num]]), " ")</f>
        <v xml:space="preserve"> </v>
      </c>
      <c r="AH49" s="310" t="str">
        <f>IFERROR(INDEX(Devices[Part], Devices[[#This Row],[Sel D]], 1), "")</f>
        <v>AMC0330S-Q1</v>
      </c>
      <c r="AI49" s="310">
        <f>IFERROR(INDEX(Devices[Part], Devices[[#This Row],[Sel IntRdiv]], 1), "")</f>
        <v>0</v>
      </c>
      <c r="AJ49" s="310">
        <f>IFERROR(INDEX(Devices[Part], Devices[[#This Row],[Sel SE]], 1), "")</f>
        <v>0</v>
      </c>
      <c r="AK49" s="310" t="str">
        <f>IFERROR(INDEX(Devices[Part], Devices[[#This Row],[Sel N]], 1), "")</f>
        <v/>
      </c>
      <c r="AM49" s="311"/>
    </row>
    <row r="50" spans="1:39" s="470" customFormat="1" ht="15" customHeight="1">
      <c r="A50" s="349" t="s">
        <v>454</v>
      </c>
      <c r="B50" s="331" t="s">
        <v>52</v>
      </c>
      <c r="C50" s="429" t="s">
        <v>455</v>
      </c>
      <c r="D50" s="314">
        <v>4.0000000000000002E-4</v>
      </c>
      <c r="E50" s="314">
        <v>2.5000000000000001E-3</v>
      </c>
      <c r="F50" s="315">
        <v>5</v>
      </c>
      <c r="G50" s="315">
        <v>40</v>
      </c>
      <c r="H50" s="479">
        <v>0.15</v>
      </c>
      <c r="I50" s="479">
        <v>1.5</v>
      </c>
      <c r="J50" s="317">
        <v>3</v>
      </c>
      <c r="K50" s="317">
        <v>30</v>
      </c>
      <c r="L50" s="481">
        <v>2.0000000000000002E-5</v>
      </c>
      <c r="M50" s="340">
        <v>8.0000000000000004E-4</v>
      </c>
      <c r="N50" s="315">
        <v>1</v>
      </c>
      <c r="O50" s="315">
        <v>3</v>
      </c>
      <c r="P50" s="344">
        <v>2250</v>
      </c>
      <c r="Q50" s="480">
        <v>3.3</v>
      </c>
      <c r="R50" s="345">
        <v>-40</v>
      </c>
      <c r="S50" s="345">
        <v>125</v>
      </c>
      <c r="T50" s="321"/>
      <c r="U50" s="321">
        <v>2400000000</v>
      </c>
      <c r="V50" s="346">
        <v>2400000000</v>
      </c>
      <c r="W50" s="804">
        <f>3.3/2.56</f>
        <v>1.2890625</v>
      </c>
      <c r="X50" s="482">
        <v>3.0000000000000001E-3</v>
      </c>
      <c r="Y50" s="310">
        <f t="shared" si="5"/>
        <v>44</v>
      </c>
      <c r="Z50" s="310" t="str">
        <f>IF(OR($AN$18=Devices[[#This Row],[Input Type]], 0=Devices[[#This Row],[Input Type]]),Devices[[#This Row],[Row Num]], " ")</f>
        <v xml:space="preserve"> </v>
      </c>
      <c r="AA50" s="310" t="str">
        <f>IF(OR($AN$19=Devices[[#This Row],[Input Type]], 0=Devices[[#This Row],[Input Type]]),Devices[[#This Row],[Row Num]], " ")</f>
        <v xml:space="preserve"> </v>
      </c>
      <c r="AB50" s="310">
        <f>IF(OR($AN$20=Devices[[#This Row],[Input Type]], 0=Devices[[#This Row],[Input Type]]),Devices[[#This Row],[Row Num]], " ")</f>
        <v>44</v>
      </c>
      <c r="AC50" s="310" t="str">
        <f>IF(0=Devices[[#This Row],[Input Type]], Devices[[#This Row],[Row Num]], " ")</f>
        <v xml:space="preserve"> </v>
      </c>
      <c r="AD50" s="310">
        <f>IFERROR(SMALL(Devices[Row Sel D], Devices[[#This Row],[Row Num]]), " ")</f>
        <v>56</v>
      </c>
      <c r="AE50" s="310" t="str">
        <f>IFERROR(SMALL(Devices[Row Sel IntRdiv], Devices[[#This Row],[Row Num]]), " ")</f>
        <v xml:space="preserve"> </v>
      </c>
      <c r="AF50" s="310">
        <f>IFERROR(SMALL(Devices[Row Sel SE], Devices[[#This Row],[Row Num]]), " ")</f>
        <v>109</v>
      </c>
      <c r="AG50" s="310" t="str">
        <f>IFERROR(SMALL(Devices[Row Sel N], Devices[[#This Row],[Row Num]]), " ")</f>
        <v xml:space="preserve"> </v>
      </c>
      <c r="AH50" s="310" t="str">
        <f>IFERROR(INDEX(Devices[Part], Devices[[#This Row],[Sel D]], 1), "")</f>
        <v>AMC1200C</v>
      </c>
      <c r="AI50" s="310" t="str">
        <f>IFERROR(INDEX(Devices[Part], Devices[[#This Row],[Sel IntRdiv]], 1), "")</f>
        <v/>
      </c>
      <c r="AJ50" s="310">
        <f>IFERROR(INDEX(Devices[Part], Devices[[#This Row],[Sel SE]], 1), "")</f>
        <v>0</v>
      </c>
      <c r="AK50" s="310" t="str">
        <f>IFERROR(INDEX(Devices[Part], Devices[[#This Row],[Sel N]], 1), "")</f>
        <v/>
      </c>
      <c r="AM50" s="311"/>
    </row>
    <row r="51" spans="1:39" s="470" customFormat="1" ht="15" customHeight="1">
      <c r="A51" s="349" t="s">
        <v>456</v>
      </c>
      <c r="B51" s="331" t="s">
        <v>52</v>
      </c>
      <c r="C51" s="429" t="s">
        <v>455</v>
      </c>
      <c r="D51" s="314">
        <v>4.0000000000000002E-4</v>
      </c>
      <c r="E51" s="314">
        <v>2.5000000000000001E-3</v>
      </c>
      <c r="F51" s="315">
        <v>5</v>
      </c>
      <c r="G51" s="315">
        <v>40</v>
      </c>
      <c r="H51" s="479">
        <v>0.15</v>
      </c>
      <c r="I51" s="479">
        <v>1.5</v>
      </c>
      <c r="J51" s="317">
        <v>3</v>
      </c>
      <c r="K51" s="317">
        <v>30</v>
      </c>
      <c r="L51" s="481">
        <v>2.0000000000000002E-5</v>
      </c>
      <c r="M51" s="340">
        <v>8.0000000000000004E-4</v>
      </c>
      <c r="N51" s="315">
        <v>1</v>
      </c>
      <c r="O51" s="315">
        <v>3</v>
      </c>
      <c r="P51" s="344">
        <v>2250</v>
      </c>
      <c r="Q51" s="480">
        <v>5</v>
      </c>
      <c r="R51" s="345">
        <v>-40</v>
      </c>
      <c r="S51" s="345">
        <v>125</v>
      </c>
      <c r="T51" s="321"/>
      <c r="U51" s="321">
        <v>2400000000</v>
      </c>
      <c r="V51" s="346">
        <v>2400000000</v>
      </c>
      <c r="W51" s="804">
        <v>2.5</v>
      </c>
      <c r="X51" s="482">
        <v>3.0000000000000001E-3</v>
      </c>
      <c r="Y51" s="310">
        <f t="shared" si="5"/>
        <v>45</v>
      </c>
      <c r="Z51" s="310" t="str">
        <f>IF(OR($AN$18=Devices[[#This Row],[Input Type]], 0=Devices[[#This Row],[Input Type]]),Devices[[#This Row],[Row Num]], " ")</f>
        <v xml:space="preserve"> </v>
      </c>
      <c r="AA51" s="310" t="str">
        <f>IF(OR($AN$19=Devices[[#This Row],[Input Type]], 0=Devices[[#This Row],[Input Type]]),Devices[[#This Row],[Row Num]], " ")</f>
        <v xml:space="preserve"> </v>
      </c>
      <c r="AB51" s="310">
        <f>IF(OR($AN$20=Devices[[#This Row],[Input Type]], 0=Devices[[#This Row],[Input Type]]),Devices[[#This Row],[Row Num]], " ")</f>
        <v>45</v>
      </c>
      <c r="AC51" s="310" t="str">
        <f>IF(0=Devices[[#This Row],[Input Type]], Devices[[#This Row],[Row Num]], " ")</f>
        <v xml:space="preserve"> </v>
      </c>
      <c r="AD51" s="310">
        <f>IFERROR(SMALL(Devices[Row Sel D], Devices[[#This Row],[Row Num]]), " ")</f>
        <v>57</v>
      </c>
      <c r="AE51" s="310" t="str">
        <f>IFERROR(SMALL(Devices[Row Sel IntRdiv], Devices[[#This Row],[Row Num]]), " ")</f>
        <v xml:space="preserve"> </v>
      </c>
      <c r="AF51" s="310">
        <f>IFERROR(SMALL(Devices[Row Sel SE], Devices[[#This Row],[Row Num]]), " ")</f>
        <v>110</v>
      </c>
      <c r="AG51" s="310" t="str">
        <f>IFERROR(SMALL(Devices[Row Sel N], Devices[[#This Row],[Row Num]]), " ")</f>
        <v xml:space="preserve"> </v>
      </c>
      <c r="AH51" s="310" t="str">
        <f>IFERROR(INDEX(Devices[Part], Devices[[#This Row],[Sel D]], 1), "")</f>
        <v>AMC1202</v>
      </c>
      <c r="AI51" s="310" t="str">
        <f>IFERROR(INDEX(Devices[Part], Devices[[#This Row],[Sel IntRdiv]], 1), "")</f>
        <v/>
      </c>
      <c r="AJ51" s="310">
        <f>IFERROR(INDEX(Devices[Part], Devices[[#This Row],[Sel SE]], 1), "")</f>
        <v>0</v>
      </c>
      <c r="AK51" s="310" t="str">
        <f>IFERROR(INDEX(Devices[Part], Devices[[#This Row],[Sel N]], 1), "")</f>
        <v/>
      </c>
      <c r="AM51" s="311"/>
    </row>
    <row r="52" spans="1:39" s="470" customFormat="1" ht="15" customHeight="1">
      <c r="A52" s="349" t="s">
        <v>457</v>
      </c>
      <c r="B52" s="331" t="s">
        <v>52</v>
      </c>
      <c r="C52" s="429" t="s">
        <v>52</v>
      </c>
      <c r="D52" s="314">
        <v>4.0000000000000002E-4</v>
      </c>
      <c r="E52" s="314">
        <v>2.5000000000000001E-3</v>
      </c>
      <c r="F52" s="315">
        <v>5</v>
      </c>
      <c r="G52" s="315">
        <v>50</v>
      </c>
      <c r="H52" s="479">
        <v>0.15</v>
      </c>
      <c r="I52" s="479">
        <v>1</v>
      </c>
      <c r="J52" s="317">
        <v>3</v>
      </c>
      <c r="K52" s="317">
        <v>30</v>
      </c>
      <c r="L52" s="481">
        <v>2.0000000000000002E-5</v>
      </c>
      <c r="M52" s="314">
        <v>8.0000000000000004E-4</v>
      </c>
      <c r="N52" s="315">
        <v>1</v>
      </c>
      <c r="O52" s="315">
        <v>3</v>
      </c>
      <c r="P52" s="344">
        <v>2250</v>
      </c>
      <c r="Q52" s="480">
        <v>2.25</v>
      </c>
      <c r="R52" s="345">
        <v>-40</v>
      </c>
      <c r="S52" s="345">
        <v>125</v>
      </c>
      <c r="T52" s="321"/>
      <c r="U52" s="321">
        <v>2400000000</v>
      </c>
      <c r="V52" s="346">
        <v>2400000000</v>
      </c>
      <c r="W52" s="804">
        <v>1</v>
      </c>
      <c r="X52" s="482">
        <v>3.0000000000000001E-3</v>
      </c>
      <c r="Y52" s="310">
        <f t="shared" si="5"/>
        <v>46</v>
      </c>
      <c r="Z52" s="310" t="str">
        <f>IF(OR($AN$18=Devices[[#This Row],[Input Type]], 0=Devices[[#This Row],[Input Type]]),Devices[[#This Row],[Row Num]], " ")</f>
        <v xml:space="preserve"> </v>
      </c>
      <c r="AA52" s="310" t="str">
        <f>IF(OR($AN$19=Devices[[#This Row],[Input Type]], 0=Devices[[#This Row],[Input Type]]),Devices[[#This Row],[Row Num]], " ")</f>
        <v xml:space="preserve"> </v>
      </c>
      <c r="AB52" s="310">
        <f>IF(OR($AN$20=Devices[[#This Row],[Input Type]], 0=Devices[[#This Row],[Input Type]]),Devices[[#This Row],[Row Num]], " ")</f>
        <v>46</v>
      </c>
      <c r="AC52" s="310" t="str">
        <f>IF(0=Devices[[#This Row],[Input Type]], Devices[[#This Row],[Row Num]], " ")</f>
        <v xml:space="preserve"> </v>
      </c>
      <c r="AD52" s="310">
        <f>IFERROR(SMALL(Devices[Row Sel D], Devices[[#This Row],[Row Num]]), " ")</f>
        <v>59</v>
      </c>
      <c r="AE52" s="310" t="str">
        <f>IFERROR(SMALL(Devices[Row Sel IntRdiv], Devices[[#This Row],[Row Num]]), " ")</f>
        <v xml:space="preserve"> </v>
      </c>
      <c r="AF52" s="310">
        <f>IFERROR(SMALL(Devices[Row Sel SE], Devices[[#This Row],[Row Num]]), " ")</f>
        <v>111</v>
      </c>
      <c r="AG52" s="310" t="str">
        <f>IFERROR(SMALL(Devices[Row Sel N], Devices[[#This Row],[Row Num]]), " ")</f>
        <v xml:space="preserve"> </v>
      </c>
      <c r="AH52" s="310" t="str">
        <f>IFERROR(INDEX(Devices[Part], Devices[[#This Row],[Sel D]], 1), "")</f>
        <v>AMC1300</v>
      </c>
      <c r="AI52" s="310" t="str">
        <f>IFERROR(INDEX(Devices[Part], Devices[[#This Row],[Sel IntRdiv]], 1), "")</f>
        <v/>
      </c>
      <c r="AJ52" s="310">
        <f>IFERROR(INDEX(Devices[Part], Devices[[#This Row],[Sel SE]], 1), "")</f>
        <v>0</v>
      </c>
      <c r="AK52" s="310" t="str">
        <f>IFERROR(INDEX(Devices[Part], Devices[[#This Row],[Sel N]], 1), "")</f>
        <v/>
      </c>
      <c r="AM52" s="311"/>
    </row>
    <row r="53" spans="1:39" s="470" customFormat="1" ht="15" customHeight="1">
      <c r="A53" s="349" t="s">
        <v>458</v>
      </c>
      <c r="B53" s="331" t="s">
        <v>52</v>
      </c>
      <c r="C53" s="429" t="s">
        <v>52</v>
      </c>
      <c r="D53" s="314">
        <v>4.0000000000000002E-4</v>
      </c>
      <c r="E53" s="314">
        <v>2.5000000000000001E-3</v>
      </c>
      <c r="F53" s="315">
        <v>5</v>
      </c>
      <c r="G53" s="315">
        <v>50</v>
      </c>
      <c r="H53" s="479">
        <v>0.15</v>
      </c>
      <c r="I53" s="479">
        <v>1</v>
      </c>
      <c r="J53" s="317">
        <v>3</v>
      </c>
      <c r="K53" s="317">
        <v>30</v>
      </c>
      <c r="L53" s="481">
        <v>2.0000000000000002E-5</v>
      </c>
      <c r="M53" s="314">
        <v>8.0000000000000004E-4</v>
      </c>
      <c r="N53" s="315">
        <v>1</v>
      </c>
      <c r="O53" s="315">
        <v>3</v>
      </c>
      <c r="P53" s="344">
        <v>2250</v>
      </c>
      <c r="Q53" s="480">
        <v>2.25</v>
      </c>
      <c r="R53" s="345">
        <v>-40</v>
      </c>
      <c r="S53" s="345">
        <v>125</v>
      </c>
      <c r="T53" s="321"/>
      <c r="U53" s="321">
        <v>2400000000</v>
      </c>
      <c r="V53" s="346">
        <v>2400000000</v>
      </c>
      <c r="W53" s="804">
        <v>1</v>
      </c>
      <c r="X53" s="482">
        <v>3.0000000000000001E-3</v>
      </c>
      <c r="Y53" s="310">
        <f t="shared" si="5"/>
        <v>47</v>
      </c>
      <c r="Z53" s="310" t="str">
        <f>IF(OR($AN$18=Devices[[#This Row],[Input Type]], 0=Devices[[#This Row],[Input Type]]),Devices[[#This Row],[Row Num]], " ")</f>
        <v xml:space="preserve"> </v>
      </c>
      <c r="AA53" s="310" t="str">
        <f>IF(OR($AN$19=Devices[[#This Row],[Input Type]], 0=Devices[[#This Row],[Input Type]]),Devices[[#This Row],[Row Num]], " ")</f>
        <v xml:space="preserve"> </v>
      </c>
      <c r="AB53" s="310">
        <f>IF(OR($AN$20=Devices[[#This Row],[Input Type]], 0=Devices[[#This Row],[Input Type]]),Devices[[#This Row],[Row Num]], " ")</f>
        <v>47</v>
      </c>
      <c r="AC53" s="310" t="str">
        <f>IF(0=Devices[[#This Row],[Input Type]], Devices[[#This Row],[Row Num]], " ")</f>
        <v xml:space="preserve"> </v>
      </c>
      <c r="AD53" s="310">
        <f>IFERROR(SMALL(Devices[Row Sel D], Devices[[#This Row],[Row Num]]), " ")</f>
        <v>60</v>
      </c>
      <c r="AE53" s="310" t="str">
        <f>IFERROR(SMALL(Devices[Row Sel IntRdiv], Devices[[#This Row],[Row Num]]), " ")</f>
        <v xml:space="preserve"> </v>
      </c>
      <c r="AF53" s="310">
        <f>IFERROR(SMALL(Devices[Row Sel SE], Devices[[#This Row],[Row Num]]), " ")</f>
        <v>112</v>
      </c>
      <c r="AG53" s="310" t="str">
        <f>IFERROR(SMALL(Devices[Row Sel N], Devices[[#This Row],[Row Num]]), " ")</f>
        <v xml:space="preserve"> </v>
      </c>
      <c r="AH53" s="310" t="str">
        <f>IFERROR(INDEX(Devices[Part], Devices[[#This Row],[Sel D]], 1), "")</f>
        <v>AMC1300B</v>
      </c>
      <c r="AI53" s="310" t="str">
        <f>IFERROR(INDEX(Devices[Part], Devices[[#This Row],[Sel IntRdiv]], 1), "")</f>
        <v/>
      </c>
      <c r="AJ53" s="310">
        <f>IFERROR(INDEX(Devices[Part], Devices[[#This Row],[Sel SE]], 1), "")</f>
        <v>0</v>
      </c>
      <c r="AK53" s="310" t="str">
        <f>IFERROR(INDEX(Devices[Part], Devices[[#This Row],[Sel N]], 1), "")</f>
        <v/>
      </c>
      <c r="AM53" s="311"/>
    </row>
    <row r="54" spans="1:39" s="470" customFormat="1" ht="15" customHeight="1">
      <c r="A54" s="349" t="s">
        <v>511</v>
      </c>
      <c r="B54" s="331" t="s">
        <v>51</v>
      </c>
      <c r="C54" s="429" t="s">
        <v>51</v>
      </c>
      <c r="D54" s="314">
        <v>4.0000000000000002E-4</v>
      </c>
      <c r="E54" s="314">
        <v>2.5000000000000001E-3</v>
      </c>
      <c r="F54" s="315">
        <v>5</v>
      </c>
      <c r="G54" s="315">
        <v>40</v>
      </c>
      <c r="H54" s="479">
        <v>0.1</v>
      </c>
      <c r="I54" s="479">
        <v>0.8</v>
      </c>
      <c r="J54" s="317">
        <v>1</v>
      </c>
      <c r="K54" s="317">
        <v>10</v>
      </c>
      <c r="L54" s="314">
        <v>1E-4</v>
      </c>
      <c r="M54" s="314">
        <v>2.5000000000000001E-4</v>
      </c>
      <c r="N54" s="315">
        <v>1</v>
      </c>
      <c r="O54" s="315">
        <v>3</v>
      </c>
      <c r="P54" s="344">
        <v>1000</v>
      </c>
      <c r="Q54" s="480">
        <v>2</v>
      </c>
      <c r="R54" s="345">
        <v>-40</v>
      </c>
      <c r="S54" s="345">
        <v>125</v>
      </c>
      <c r="T54" s="321"/>
      <c r="U54" s="321">
        <v>2400000000</v>
      </c>
      <c r="V54" s="346">
        <v>2400000000</v>
      </c>
      <c r="W54" s="804">
        <v>2</v>
      </c>
      <c r="X54" s="379">
        <v>0.01</v>
      </c>
      <c r="Y54" s="310">
        <f t="shared" si="5"/>
        <v>48</v>
      </c>
      <c r="Z54" s="310">
        <f>IF(OR($AN$18=Devices[[#This Row],[Input Type]], 0=Devices[[#This Row],[Input Type]]),Devices[[#This Row],[Row Num]], " ")</f>
        <v>48</v>
      </c>
      <c r="AA54" s="310" t="str">
        <f>IF(OR($AN$19=Devices[[#This Row],[Input Type]], 0=Devices[[#This Row],[Input Type]]),Devices[[#This Row],[Row Num]], " ")</f>
        <v xml:space="preserve"> </v>
      </c>
      <c r="AB54" s="310" t="str">
        <f>IF(OR($AN$20=Devices[[#This Row],[Input Type]], 0=Devices[[#This Row],[Input Type]]),Devices[[#This Row],[Row Num]], " ")</f>
        <v xml:space="preserve"> </v>
      </c>
      <c r="AC54" s="310" t="str">
        <f>IF(0=Devices[[#This Row],[Input Type]], Devices[[#This Row],[Row Num]], " ")</f>
        <v xml:space="preserve"> </v>
      </c>
      <c r="AD54" s="310">
        <f>IFERROR(SMALL(Devices[Row Sel D], Devices[[#This Row],[Row Num]]), " ")</f>
        <v>61</v>
      </c>
      <c r="AE54" s="310" t="str">
        <f>IFERROR(SMALL(Devices[Row Sel IntRdiv], Devices[[#This Row],[Row Num]]), " ")</f>
        <v xml:space="preserve"> </v>
      </c>
      <c r="AF54" s="310">
        <f>IFERROR(SMALL(Devices[Row Sel SE], Devices[[#This Row],[Row Num]]), " ")</f>
        <v>113</v>
      </c>
      <c r="AG54" s="310" t="str">
        <f>IFERROR(SMALL(Devices[Row Sel N], Devices[[#This Row],[Row Num]]), " ")</f>
        <v xml:space="preserve"> </v>
      </c>
      <c r="AH54" s="310" t="str">
        <f>IFERROR(INDEX(Devices[Part], Devices[[#This Row],[Sel D]], 1), "")</f>
        <v>AMC1300-Q1</v>
      </c>
      <c r="AI54" s="310" t="str">
        <f>IFERROR(INDEX(Devices[Part], Devices[[#This Row],[Sel IntRdiv]], 1), "")</f>
        <v/>
      </c>
      <c r="AJ54" s="310">
        <f>IFERROR(INDEX(Devices[Part], Devices[[#This Row],[Sel SE]], 1), "")</f>
        <v>0</v>
      </c>
      <c r="AK54" s="310" t="str">
        <f>IFERROR(INDEX(Devices[Part], Devices[[#This Row],[Sel N]], 1), "")</f>
        <v/>
      </c>
      <c r="AM54" s="311"/>
    </row>
    <row r="55" spans="1:39" s="470" customFormat="1" ht="15" customHeight="1">
      <c r="A55" s="349" t="s">
        <v>512</v>
      </c>
      <c r="B55" s="331" t="s">
        <v>51</v>
      </c>
      <c r="C55" s="429" t="s">
        <v>51</v>
      </c>
      <c r="D55" s="314">
        <v>4.0000000000000002E-4</v>
      </c>
      <c r="E55" s="314">
        <v>2.5000000000000001E-3</v>
      </c>
      <c r="F55" s="315">
        <v>5</v>
      </c>
      <c r="G55" s="315">
        <v>40</v>
      </c>
      <c r="H55" s="479">
        <v>0.1</v>
      </c>
      <c r="I55" s="479">
        <v>0.8</v>
      </c>
      <c r="J55" s="317">
        <v>1</v>
      </c>
      <c r="K55" s="317">
        <v>10</v>
      </c>
      <c r="L55" s="314">
        <v>1E-4</v>
      </c>
      <c r="M55" s="314">
        <v>2.5000000000000001E-4</v>
      </c>
      <c r="N55" s="315">
        <v>1</v>
      </c>
      <c r="O55" s="315">
        <v>3</v>
      </c>
      <c r="P55" s="344">
        <v>1000</v>
      </c>
      <c r="Q55" s="480">
        <v>2</v>
      </c>
      <c r="R55" s="345">
        <v>-40</v>
      </c>
      <c r="S55" s="345">
        <v>125</v>
      </c>
      <c r="T55" s="321"/>
      <c r="U55" s="321">
        <v>2400000000</v>
      </c>
      <c r="V55" s="346">
        <v>2400000000</v>
      </c>
      <c r="W55" s="804">
        <v>2</v>
      </c>
      <c r="X55" s="379">
        <v>0.01</v>
      </c>
      <c r="Y55" s="310">
        <f t="shared" si="5"/>
        <v>49</v>
      </c>
      <c r="Z55" s="310">
        <f>IF(OR($AN$18=Devices[[#This Row],[Input Type]], 0=Devices[[#This Row],[Input Type]]),Devices[[#This Row],[Row Num]], " ")</f>
        <v>49</v>
      </c>
      <c r="AA55" s="310" t="str">
        <f>IF(OR($AN$19=Devices[[#This Row],[Input Type]], 0=Devices[[#This Row],[Input Type]]),Devices[[#This Row],[Row Num]], " ")</f>
        <v xml:space="preserve"> </v>
      </c>
      <c r="AB55" s="310" t="str">
        <f>IF(OR($AN$20=Devices[[#This Row],[Input Type]], 0=Devices[[#This Row],[Input Type]]),Devices[[#This Row],[Row Num]], " ")</f>
        <v xml:space="preserve"> </v>
      </c>
      <c r="AC55" s="310" t="str">
        <f>IF(0=Devices[[#This Row],[Input Type]], Devices[[#This Row],[Row Num]], " ")</f>
        <v xml:space="preserve"> </v>
      </c>
      <c r="AD55" s="310">
        <f>IFERROR(SMALL(Devices[Row Sel D], Devices[[#This Row],[Row Num]]), " ")</f>
        <v>62</v>
      </c>
      <c r="AE55" s="310" t="str">
        <f>IFERROR(SMALL(Devices[Row Sel IntRdiv], Devices[[#This Row],[Row Num]]), " ")</f>
        <v xml:space="preserve"> </v>
      </c>
      <c r="AF55" s="310">
        <f>IFERROR(SMALL(Devices[Row Sel SE], Devices[[#This Row],[Row Num]]), " ")</f>
        <v>114</v>
      </c>
      <c r="AG55" s="310" t="str">
        <f>IFERROR(SMALL(Devices[Row Sel N], Devices[[#This Row],[Row Num]]), " ")</f>
        <v xml:space="preserve"> </v>
      </c>
      <c r="AH55" s="310" t="str">
        <f>IFERROR(INDEX(Devices[Part], Devices[[#This Row],[Sel D]], 1), "")</f>
        <v>AMC1300B-Q1</v>
      </c>
      <c r="AI55" s="310" t="str">
        <f>IFERROR(INDEX(Devices[Part], Devices[[#This Row],[Sel IntRdiv]], 1), "")</f>
        <v/>
      </c>
      <c r="AJ55" s="310">
        <f>IFERROR(INDEX(Devices[Part], Devices[[#This Row],[Sel SE]], 1), "")</f>
        <v>0</v>
      </c>
      <c r="AK55" s="310" t="str">
        <f>IFERROR(INDEX(Devices[Part], Devices[[#This Row],[Sel N]], 1), "")</f>
        <v/>
      </c>
      <c r="AM55" s="311"/>
    </row>
    <row r="56" spans="1:39" s="470" customFormat="1" ht="15" customHeight="1">
      <c r="A56" s="349" t="s">
        <v>513</v>
      </c>
      <c r="B56" s="331" t="s">
        <v>51</v>
      </c>
      <c r="C56" s="429" t="s">
        <v>455</v>
      </c>
      <c r="D56" s="314">
        <v>4.0000000000000002E-4</v>
      </c>
      <c r="E56" s="314">
        <v>2.5000000000000001E-3</v>
      </c>
      <c r="F56" s="315">
        <v>5</v>
      </c>
      <c r="G56" s="315">
        <v>40</v>
      </c>
      <c r="H56" s="479">
        <v>0.01</v>
      </c>
      <c r="I56" s="479">
        <v>1.5</v>
      </c>
      <c r="J56" s="317">
        <v>2</v>
      </c>
      <c r="K56" s="317">
        <v>20</v>
      </c>
      <c r="L56" s="314">
        <v>1.2999999999999999E-4</v>
      </c>
      <c r="M56" s="314">
        <v>2.5000000000000001E-4</v>
      </c>
      <c r="N56" s="315">
        <v>1</v>
      </c>
      <c r="O56" s="315">
        <v>3</v>
      </c>
      <c r="P56" s="344">
        <v>1000</v>
      </c>
      <c r="Q56" s="480">
        <v>3.3</v>
      </c>
      <c r="R56" s="345">
        <v>-40</v>
      </c>
      <c r="S56" s="345">
        <v>125</v>
      </c>
      <c r="T56" s="321"/>
      <c r="U56" s="321">
        <v>2400000000</v>
      </c>
      <c r="V56" s="346">
        <v>2400000000</v>
      </c>
      <c r="W56" s="804">
        <v>3.3</v>
      </c>
      <c r="X56" s="379">
        <v>0.01</v>
      </c>
      <c r="Y56" s="310">
        <f>ROW()-6</f>
        <v>50</v>
      </c>
      <c r="Z56" s="310">
        <f>IF(OR($AN$18=Devices[[#This Row],[Input Type]], 0=Devices[[#This Row],[Input Type]]),Devices[[#This Row],[Row Num]], " ")</f>
        <v>50</v>
      </c>
      <c r="AA56" s="310" t="str">
        <f>IF(OR($AN$19=Devices[[#This Row],[Input Type]], 0=Devices[[#This Row],[Input Type]]),Devices[[#This Row],[Row Num]], " ")</f>
        <v xml:space="preserve"> </v>
      </c>
      <c r="AB56" s="310" t="str">
        <f>IF(OR($AN$20=Devices[[#This Row],[Input Type]], 0=Devices[[#This Row],[Input Type]]),Devices[[#This Row],[Row Num]], " ")</f>
        <v xml:space="preserve"> </v>
      </c>
      <c r="AC56" s="310" t="str">
        <f>IF(0=Devices[[#This Row],[Input Type]], Devices[[#This Row],[Row Num]], " ")</f>
        <v xml:space="preserve"> </v>
      </c>
      <c r="AD56" s="310">
        <f>IFERROR(SMALL(Devices[Row Sel D], Devices[[#This Row],[Row Num]]), " ")</f>
        <v>63</v>
      </c>
      <c r="AE56" s="310" t="str">
        <f>IFERROR(SMALL(Devices[Row Sel IntRdiv], Devices[[#This Row],[Row Num]]), " ")</f>
        <v xml:space="preserve"> </v>
      </c>
      <c r="AF56" s="310">
        <f>IFERROR(SMALL(Devices[Row Sel SE], Devices[[#This Row],[Row Num]]), " ")</f>
        <v>115</v>
      </c>
      <c r="AG56" s="310" t="str">
        <f>IFERROR(SMALL(Devices[Row Sel N], Devices[[#This Row],[Row Num]]), " ")</f>
        <v xml:space="preserve"> </v>
      </c>
      <c r="AH56" s="310" t="str">
        <f>IFERROR(INDEX(Devices[Part], Devices[[#This Row],[Sel D]], 1), "")</f>
        <v>AMC1301</v>
      </c>
      <c r="AI56" s="310" t="str">
        <f>IFERROR(INDEX(Devices[Part], Devices[[#This Row],[Sel IntRdiv]], 1), "")</f>
        <v/>
      </c>
      <c r="AJ56" s="310">
        <f>IFERROR(INDEX(Devices[Part], Devices[[#This Row],[Sel SE]], 1), "")</f>
        <v>0</v>
      </c>
      <c r="AK56" s="310" t="str">
        <f>IFERROR(INDEX(Devices[Part], Devices[[#This Row],[Sel N]], 1), "")</f>
        <v/>
      </c>
      <c r="AM56" s="311"/>
    </row>
    <row r="57" spans="1:39" s="470" customFormat="1" ht="15" customHeight="1">
      <c r="A57" s="349" t="s">
        <v>514</v>
      </c>
      <c r="B57" s="331" t="s">
        <v>51</v>
      </c>
      <c r="C57" s="429" t="s">
        <v>455</v>
      </c>
      <c r="D57" s="314">
        <v>4.0000000000000002E-4</v>
      </c>
      <c r="E57" s="314">
        <v>2.5000000000000001E-3</v>
      </c>
      <c r="F57" s="315">
        <v>5</v>
      </c>
      <c r="G57" s="315">
        <v>40</v>
      </c>
      <c r="H57" s="479">
        <v>0.01</v>
      </c>
      <c r="I57" s="479">
        <v>1.5</v>
      </c>
      <c r="J57" s="317">
        <v>2</v>
      </c>
      <c r="K57" s="317">
        <v>20</v>
      </c>
      <c r="L57" s="314">
        <v>1.2999999999999999E-4</v>
      </c>
      <c r="M57" s="314">
        <v>2.5000000000000001E-4</v>
      </c>
      <c r="N57" s="315">
        <v>1</v>
      </c>
      <c r="O57" s="315">
        <v>3</v>
      </c>
      <c r="P57" s="344">
        <v>1000</v>
      </c>
      <c r="Q57" s="480">
        <v>5</v>
      </c>
      <c r="R57" s="345">
        <v>-40</v>
      </c>
      <c r="S57" s="345">
        <v>125</v>
      </c>
      <c r="T57" s="321"/>
      <c r="U57" s="321">
        <v>2400000000</v>
      </c>
      <c r="V57" s="346">
        <v>2400000000</v>
      </c>
      <c r="W57" s="804">
        <v>5</v>
      </c>
      <c r="X57" s="379">
        <v>0.01</v>
      </c>
      <c r="Y57" s="430">
        <f>ROW()-6</f>
        <v>51</v>
      </c>
      <c r="Z57" s="430">
        <f>IF(OR($AN$18=Devices[[#This Row],[Input Type]], 0=Devices[[#This Row],[Input Type]]),Devices[[#This Row],[Row Num]], " ")</f>
        <v>51</v>
      </c>
      <c r="AA57" s="430" t="str">
        <f>IF(OR($AN$19=Devices[[#This Row],[Input Type]], 0=Devices[[#This Row],[Input Type]]),Devices[[#This Row],[Row Num]], " ")</f>
        <v xml:space="preserve"> </v>
      </c>
      <c r="AB57" s="430" t="str">
        <f>IF(OR($AN$20=Devices[[#This Row],[Input Type]], 0=Devices[[#This Row],[Input Type]]),Devices[[#This Row],[Row Num]], " ")</f>
        <v xml:space="preserve"> </v>
      </c>
      <c r="AC57" s="430" t="str">
        <f>IF(0=Devices[[#This Row],[Input Type]], Devices[[#This Row],[Row Num]], " ")</f>
        <v xml:space="preserve"> </v>
      </c>
      <c r="AD57" s="430">
        <f>IFERROR(SMALL(Devices[Row Sel D], Devices[[#This Row],[Row Num]]), " ")</f>
        <v>64</v>
      </c>
      <c r="AE57" s="430" t="str">
        <f>IFERROR(SMALL(Devices[Row Sel IntRdiv], Devices[[#This Row],[Row Num]]), " ")</f>
        <v xml:space="preserve"> </v>
      </c>
      <c r="AF57" s="430">
        <f>IFERROR(SMALL(Devices[Row Sel SE], Devices[[#This Row],[Row Num]]), " ")</f>
        <v>116</v>
      </c>
      <c r="AG57" s="430" t="str">
        <f>IFERROR(SMALL(Devices[Row Sel N], Devices[[#This Row],[Row Num]]), " ")</f>
        <v xml:space="preserve"> </v>
      </c>
      <c r="AH57" s="430" t="str">
        <f>IFERROR(INDEX(Devices[Part], Devices[[#This Row],[Sel D]], 1), "")</f>
        <v>AMC1301S</v>
      </c>
      <c r="AI57" s="430" t="str">
        <f>IFERROR(INDEX(Devices[Part], Devices[[#This Row],[Sel IntRdiv]], 1), "")</f>
        <v/>
      </c>
      <c r="AJ57" s="430">
        <f>IFERROR(INDEX(Devices[Part], Devices[[#This Row],[Sel SE]], 1), "")</f>
        <v>0</v>
      </c>
      <c r="AK57" s="430" t="str">
        <f>IFERROR(INDEX(Devices[Part], Devices[[#This Row],[Sel N]], 1), "")</f>
        <v/>
      </c>
      <c r="AM57" s="311"/>
    </row>
    <row r="58" spans="1:39" s="427" customFormat="1" ht="15" customHeight="1">
      <c r="A58" s="349" t="s">
        <v>515</v>
      </c>
      <c r="B58" s="331" t="s">
        <v>51</v>
      </c>
      <c r="C58" s="429" t="s">
        <v>455</v>
      </c>
      <c r="D58" s="314">
        <v>4.0000000000000002E-4</v>
      </c>
      <c r="E58" s="314">
        <v>2.5000000000000001E-3</v>
      </c>
      <c r="F58" s="315">
        <v>5</v>
      </c>
      <c r="G58" s="315">
        <v>40</v>
      </c>
      <c r="H58" s="479">
        <v>0.01</v>
      </c>
      <c r="I58" s="479">
        <v>1.5</v>
      </c>
      <c r="J58" s="317">
        <v>2</v>
      </c>
      <c r="K58" s="317">
        <v>20</v>
      </c>
      <c r="L58" s="314">
        <v>1.2999999999999999E-4</v>
      </c>
      <c r="M58" s="314">
        <v>2.5000000000000001E-4</v>
      </c>
      <c r="N58" s="315">
        <v>1</v>
      </c>
      <c r="O58" s="315">
        <v>3</v>
      </c>
      <c r="P58" s="344">
        <v>1000</v>
      </c>
      <c r="Q58" s="480">
        <v>3.3</v>
      </c>
      <c r="R58" s="345">
        <v>-40</v>
      </c>
      <c r="S58" s="345">
        <v>125</v>
      </c>
      <c r="T58" s="321"/>
      <c r="U58" s="321">
        <v>2400000000</v>
      </c>
      <c r="V58" s="346">
        <v>2400000000</v>
      </c>
      <c r="W58" s="804">
        <v>3.3</v>
      </c>
      <c r="X58" s="379">
        <v>0.01</v>
      </c>
      <c r="Y58" s="430">
        <f t="shared" ref="Y58:Y61" si="6">ROW()-6</f>
        <v>52</v>
      </c>
      <c r="Z58" s="430">
        <f>IF(OR($AN$18=Devices[[#This Row],[Input Type]], 0=Devices[[#This Row],[Input Type]]),Devices[[#This Row],[Row Num]], " ")</f>
        <v>52</v>
      </c>
      <c r="AA58" s="430" t="str">
        <f>IF(OR($AN$19=Devices[[#This Row],[Input Type]], 0=Devices[[#This Row],[Input Type]]),Devices[[#This Row],[Row Num]], " ")</f>
        <v xml:space="preserve"> </v>
      </c>
      <c r="AB58" s="430" t="str">
        <f>IF(OR($AN$20=Devices[[#This Row],[Input Type]], 0=Devices[[#This Row],[Input Type]]),Devices[[#This Row],[Row Num]], " ")</f>
        <v xml:space="preserve"> </v>
      </c>
      <c r="AC58" s="430" t="str">
        <f>IF(0=Devices[[#This Row],[Input Type]], Devices[[#This Row],[Row Num]], " ")</f>
        <v xml:space="preserve"> </v>
      </c>
      <c r="AD58" s="430">
        <f>IFERROR(SMALL(Devices[Row Sel D], Devices[[#This Row],[Row Num]]), " ")</f>
        <v>65</v>
      </c>
      <c r="AE58" s="430" t="str">
        <f>IFERROR(SMALL(Devices[Row Sel IntRdiv], Devices[[#This Row],[Row Num]]), " ")</f>
        <v xml:space="preserve"> </v>
      </c>
      <c r="AF58" s="430">
        <f>IFERROR(SMALL(Devices[Row Sel SE], Devices[[#This Row],[Row Num]]), " ")</f>
        <v>117</v>
      </c>
      <c r="AG58" s="430" t="str">
        <f>IFERROR(SMALL(Devices[Row Sel N], Devices[[#This Row],[Row Num]]), " ")</f>
        <v xml:space="preserve"> </v>
      </c>
      <c r="AH58" s="430" t="str">
        <f>IFERROR(INDEX(Devices[Part], Devices[[#This Row],[Sel D]], 1), "")</f>
        <v>AMC1301-Q1</v>
      </c>
      <c r="AI58" s="430" t="str">
        <f>IFERROR(INDEX(Devices[Part], Devices[[#This Row],[Sel IntRdiv]], 1), "")</f>
        <v/>
      </c>
      <c r="AJ58" s="430">
        <f>IFERROR(INDEX(Devices[Part], Devices[[#This Row],[Sel SE]], 1), "")</f>
        <v>0</v>
      </c>
      <c r="AK58" s="430" t="str">
        <f>IFERROR(INDEX(Devices[Part], Devices[[#This Row],[Sel N]], 1), "")</f>
        <v/>
      </c>
      <c r="AM58" s="311"/>
    </row>
    <row r="59" spans="1:39" s="427" customFormat="1" ht="15" customHeight="1">
      <c r="A59" s="349" t="s">
        <v>516</v>
      </c>
      <c r="B59" s="331" t="s">
        <v>51</v>
      </c>
      <c r="C59" s="429" t="s">
        <v>455</v>
      </c>
      <c r="D59" s="314">
        <v>4.0000000000000002E-4</v>
      </c>
      <c r="E59" s="314">
        <v>2.5000000000000001E-3</v>
      </c>
      <c r="F59" s="315">
        <v>5</v>
      </c>
      <c r="G59" s="315">
        <v>40</v>
      </c>
      <c r="H59" s="479">
        <v>0.01</v>
      </c>
      <c r="I59" s="479">
        <v>1.5</v>
      </c>
      <c r="J59" s="317">
        <v>2</v>
      </c>
      <c r="K59" s="317">
        <v>20</v>
      </c>
      <c r="L59" s="314">
        <v>1.2999999999999999E-4</v>
      </c>
      <c r="M59" s="314">
        <v>2.5000000000000001E-4</v>
      </c>
      <c r="N59" s="315">
        <v>1</v>
      </c>
      <c r="O59" s="315">
        <v>3</v>
      </c>
      <c r="P59" s="344">
        <v>1000</v>
      </c>
      <c r="Q59" s="480">
        <v>5</v>
      </c>
      <c r="R59" s="345">
        <v>-40</v>
      </c>
      <c r="S59" s="345">
        <v>125</v>
      </c>
      <c r="T59" s="321"/>
      <c r="U59" s="321">
        <v>2400000000</v>
      </c>
      <c r="V59" s="346">
        <v>2400000000</v>
      </c>
      <c r="W59" s="804">
        <v>5</v>
      </c>
      <c r="X59" s="379">
        <v>0.01</v>
      </c>
      <c r="Y59" s="430">
        <f>ROW()-6</f>
        <v>53</v>
      </c>
      <c r="Z59" s="430">
        <f>IF(OR($AN$18=Devices[[#This Row],[Input Type]], 0=Devices[[#This Row],[Input Type]]),Devices[[#This Row],[Row Num]], " ")</f>
        <v>53</v>
      </c>
      <c r="AA59" s="430" t="str">
        <f>IF(OR($AN$19=Devices[[#This Row],[Input Type]], 0=Devices[[#This Row],[Input Type]]),Devices[[#This Row],[Row Num]], " ")</f>
        <v xml:space="preserve"> </v>
      </c>
      <c r="AB59" s="430" t="str">
        <f>IF(OR($AN$20=Devices[[#This Row],[Input Type]], 0=Devices[[#This Row],[Input Type]]),Devices[[#This Row],[Row Num]], " ")</f>
        <v xml:space="preserve"> </v>
      </c>
      <c r="AC59" s="430" t="str">
        <f>IF(0=Devices[[#This Row],[Input Type]], Devices[[#This Row],[Row Num]], " ")</f>
        <v xml:space="preserve"> </v>
      </c>
      <c r="AD59" s="430">
        <f>IFERROR(SMALL(Devices[Row Sel D], Devices[[#This Row],[Row Num]]), " ")</f>
        <v>66</v>
      </c>
      <c r="AE59" s="430" t="str">
        <f>IFERROR(SMALL(Devices[Row Sel IntRdiv], Devices[[#This Row],[Row Num]]), " ")</f>
        <v xml:space="preserve"> </v>
      </c>
      <c r="AF59" s="430">
        <f>IFERROR(SMALL(Devices[Row Sel SE], Devices[[#This Row],[Row Num]]), " ")</f>
        <v>118</v>
      </c>
      <c r="AG59" s="430" t="str">
        <f>IFERROR(SMALL(Devices[Row Sel N], Devices[[#This Row],[Row Num]]), " ")</f>
        <v xml:space="preserve"> </v>
      </c>
      <c r="AH59" s="430" t="str">
        <f>IFERROR(INDEX(Devices[Part], Devices[[#This Row],[Sel D]], 1), "")</f>
        <v>AMC1302</v>
      </c>
      <c r="AI59" s="430" t="str">
        <f>IFERROR(INDEX(Devices[Part], Devices[[#This Row],[Sel IntRdiv]], 1), "")</f>
        <v/>
      </c>
      <c r="AJ59" s="430">
        <f>IFERROR(INDEX(Devices[Part], Devices[[#This Row],[Sel SE]], 1), "")</f>
        <v>0</v>
      </c>
      <c r="AK59" s="430" t="str">
        <f>IFERROR(INDEX(Devices[Part], Devices[[#This Row],[Sel N]], 1), "")</f>
        <v/>
      </c>
      <c r="AM59" s="311"/>
    </row>
    <row r="60" spans="1:39" s="427" customFormat="1" ht="15" customHeight="1">
      <c r="A60" s="349" t="s">
        <v>517</v>
      </c>
      <c r="B60" s="331" t="s">
        <v>51</v>
      </c>
      <c r="C60" s="429" t="s">
        <v>52</v>
      </c>
      <c r="D60" s="314">
        <v>4.0000000000000002E-4</v>
      </c>
      <c r="E60" s="314">
        <v>2.5000000000000001E-3</v>
      </c>
      <c r="F60" s="315">
        <v>5</v>
      </c>
      <c r="G60" s="315">
        <v>45</v>
      </c>
      <c r="H60" s="479">
        <v>0.1</v>
      </c>
      <c r="I60" s="479">
        <v>1.2</v>
      </c>
      <c r="J60" s="317">
        <v>2</v>
      </c>
      <c r="K60" s="317">
        <v>20</v>
      </c>
      <c r="L60" s="314">
        <v>1E-4</v>
      </c>
      <c r="M60" s="314">
        <v>2.5000000000000001E-4</v>
      </c>
      <c r="N60" s="315">
        <v>1</v>
      </c>
      <c r="O60" s="315">
        <v>3</v>
      </c>
      <c r="P60" s="344">
        <v>1000</v>
      </c>
      <c r="Q60" s="480">
        <v>2</v>
      </c>
      <c r="R60" s="345">
        <v>-40</v>
      </c>
      <c r="S60" s="345">
        <v>125</v>
      </c>
      <c r="T60" s="321"/>
      <c r="U60" s="321">
        <v>2400000000</v>
      </c>
      <c r="V60" s="346">
        <v>2400000000</v>
      </c>
      <c r="W60" s="804">
        <v>2</v>
      </c>
      <c r="X60" s="379">
        <v>0.01</v>
      </c>
      <c r="Y60" s="430">
        <f>ROW()-6</f>
        <v>54</v>
      </c>
      <c r="Z60" s="430">
        <f>IF(OR($AN$18=Devices[[#This Row],[Input Type]], 0=Devices[[#This Row],[Input Type]]),Devices[[#This Row],[Row Num]], " ")</f>
        <v>54</v>
      </c>
      <c r="AA60" s="430" t="str">
        <f>IF(OR($AN$19=Devices[[#This Row],[Input Type]], 0=Devices[[#This Row],[Input Type]]),Devices[[#This Row],[Row Num]], " ")</f>
        <v xml:space="preserve"> </v>
      </c>
      <c r="AB60" s="430" t="str">
        <f>IF(OR($AN$20=Devices[[#This Row],[Input Type]], 0=Devices[[#This Row],[Input Type]]),Devices[[#This Row],[Row Num]], " ")</f>
        <v xml:space="preserve"> </v>
      </c>
      <c r="AC60" s="430" t="str">
        <f>IF(0=Devices[[#This Row],[Input Type]], Devices[[#This Row],[Row Num]], " ")</f>
        <v xml:space="preserve"> </v>
      </c>
      <c r="AD60" s="430">
        <f>IFERROR(SMALL(Devices[Row Sel D], Devices[[#This Row],[Row Num]]), " ")</f>
        <v>67</v>
      </c>
      <c r="AE60" s="430" t="str">
        <f>IFERROR(SMALL(Devices[Row Sel IntRdiv], Devices[[#This Row],[Row Num]]), " ")</f>
        <v xml:space="preserve"> </v>
      </c>
      <c r="AF60" s="430">
        <f>IFERROR(SMALL(Devices[Row Sel SE], Devices[[#This Row],[Row Num]]), " ")</f>
        <v>119</v>
      </c>
      <c r="AG60" s="430" t="str">
        <f>IFERROR(SMALL(Devices[Row Sel N], Devices[[#This Row],[Row Num]]), " ")</f>
        <v xml:space="preserve"> </v>
      </c>
      <c r="AH60" s="430" t="str">
        <f>IFERROR(INDEX(Devices[Part], Devices[[#This Row],[Sel D]], 1), "")</f>
        <v>AMC1302-Q1</v>
      </c>
      <c r="AI60" s="430" t="str">
        <f>IFERROR(INDEX(Devices[Part], Devices[[#This Row],[Sel IntRdiv]], 1), "")</f>
        <v/>
      </c>
      <c r="AJ60" s="430">
        <f>IFERROR(INDEX(Devices[Part], Devices[[#This Row],[Sel SE]], 1), "")</f>
        <v>0</v>
      </c>
      <c r="AK60" s="430" t="str">
        <f>IFERROR(INDEX(Devices[Part], Devices[[#This Row],[Sel N]], 1), "")</f>
        <v/>
      </c>
      <c r="AM60" s="311"/>
    </row>
    <row r="61" spans="1:39" s="427" customFormat="1" ht="15" customHeight="1">
      <c r="A61" s="349" t="s">
        <v>518</v>
      </c>
      <c r="B61" s="331" t="s">
        <v>51</v>
      </c>
      <c r="C61" s="429" t="s">
        <v>52</v>
      </c>
      <c r="D61" s="314">
        <v>4.0000000000000002E-4</v>
      </c>
      <c r="E61" s="314">
        <v>2.5000000000000001E-3</v>
      </c>
      <c r="F61" s="315">
        <v>5</v>
      </c>
      <c r="G61" s="315">
        <v>45</v>
      </c>
      <c r="H61" s="479">
        <v>0.1</v>
      </c>
      <c r="I61" s="479">
        <v>1.2</v>
      </c>
      <c r="J61" s="317">
        <v>2</v>
      </c>
      <c r="K61" s="317">
        <v>20</v>
      </c>
      <c r="L61" s="314">
        <v>1E-4</v>
      </c>
      <c r="M61" s="314">
        <v>2.5000000000000001E-4</v>
      </c>
      <c r="N61" s="315">
        <v>1</v>
      </c>
      <c r="O61" s="315">
        <v>3</v>
      </c>
      <c r="P61" s="344">
        <v>1000</v>
      </c>
      <c r="Q61" s="480">
        <v>2</v>
      </c>
      <c r="R61" s="345">
        <v>-40</v>
      </c>
      <c r="S61" s="345">
        <v>125</v>
      </c>
      <c r="T61" s="321"/>
      <c r="U61" s="321">
        <v>2400000000</v>
      </c>
      <c r="V61" s="346">
        <v>2400000000</v>
      </c>
      <c r="W61" s="804">
        <v>2</v>
      </c>
      <c r="X61" s="379">
        <v>0.01</v>
      </c>
      <c r="Y61" s="430">
        <f t="shared" si="6"/>
        <v>55</v>
      </c>
      <c r="Z61" s="430">
        <f>IF(OR($AN$18=Devices[[#This Row],[Input Type]], 0=Devices[[#This Row],[Input Type]]),Devices[[#This Row],[Row Num]], " ")</f>
        <v>55</v>
      </c>
      <c r="AA61" s="430" t="str">
        <f>IF(OR($AN$19=Devices[[#This Row],[Input Type]], 0=Devices[[#This Row],[Input Type]]),Devices[[#This Row],[Row Num]], " ")</f>
        <v xml:space="preserve"> </v>
      </c>
      <c r="AB61" s="430" t="str">
        <f>IF(OR($AN$20=Devices[[#This Row],[Input Type]], 0=Devices[[#This Row],[Input Type]]),Devices[[#This Row],[Row Num]], " ")</f>
        <v xml:space="preserve"> </v>
      </c>
      <c r="AC61" s="430" t="str">
        <f>IF(0=Devices[[#This Row],[Input Type]], Devices[[#This Row],[Row Num]], " ")</f>
        <v xml:space="preserve"> </v>
      </c>
      <c r="AD61" s="430">
        <f>IFERROR(SMALL(Devices[Row Sel D], Devices[[#This Row],[Row Num]]), " ")</f>
        <v>72</v>
      </c>
      <c r="AE61" s="430" t="str">
        <f>IFERROR(SMALL(Devices[Row Sel IntRdiv], Devices[[#This Row],[Row Num]]), " ")</f>
        <v xml:space="preserve"> </v>
      </c>
      <c r="AF61" s="430">
        <f>IFERROR(SMALL(Devices[Row Sel SE], Devices[[#This Row],[Row Num]]), " ")</f>
        <v>120</v>
      </c>
      <c r="AG61" s="430" t="str">
        <f>IFERROR(SMALL(Devices[Row Sel N], Devices[[#This Row],[Row Num]]), " ")</f>
        <v xml:space="preserve"> </v>
      </c>
      <c r="AH61" s="430" t="str">
        <f>IFERROR(INDEX(Devices[Part], Devices[[#This Row],[Sel D]], 1), "")</f>
        <v>AMC1350</v>
      </c>
      <c r="AI61" s="430" t="str">
        <f>IFERROR(INDEX(Devices[Part], Devices[[#This Row],[Sel IntRdiv]], 1), "")</f>
        <v/>
      </c>
      <c r="AJ61" s="430">
        <f>IFERROR(INDEX(Devices[Part], Devices[[#This Row],[Sel SE]], 1), "")</f>
        <v>0</v>
      </c>
      <c r="AK61" s="430" t="str">
        <f>IFERROR(INDEX(Devices[Part], Devices[[#This Row],[Sel N]], 1), "")</f>
        <v/>
      </c>
      <c r="AM61" s="311"/>
    </row>
    <row r="62" spans="1:39" s="427" customFormat="1" ht="15" customHeight="1">
      <c r="A62" s="349" t="s">
        <v>519</v>
      </c>
      <c r="B62" s="331" t="s">
        <v>51</v>
      </c>
      <c r="C62" s="429" t="s">
        <v>51</v>
      </c>
      <c r="D62" s="314">
        <v>4.0000000000000002E-4</v>
      </c>
      <c r="E62" s="314">
        <v>2.5000000000000001E-3</v>
      </c>
      <c r="F62" s="315">
        <v>5</v>
      </c>
      <c r="G62" s="315">
        <v>35</v>
      </c>
      <c r="H62" s="479">
        <v>0.01</v>
      </c>
      <c r="I62" s="479">
        <v>0.2</v>
      </c>
      <c r="J62" s="317">
        <v>0.25</v>
      </c>
      <c r="K62" s="317">
        <v>2</v>
      </c>
      <c r="L62" s="314">
        <v>1.2999999999999999E-4</v>
      </c>
      <c r="M62" s="314">
        <v>4.0000000000000002E-4</v>
      </c>
      <c r="N62" s="315">
        <v>1</v>
      </c>
      <c r="O62" s="315">
        <v>3</v>
      </c>
      <c r="P62" s="344">
        <v>250</v>
      </c>
      <c r="Q62" s="480">
        <v>2</v>
      </c>
      <c r="R62" s="345">
        <v>-40</v>
      </c>
      <c r="S62" s="345">
        <v>125</v>
      </c>
      <c r="T62" s="321"/>
      <c r="U62" s="321">
        <v>27500</v>
      </c>
      <c r="V62" s="346">
        <v>27500</v>
      </c>
      <c r="W62" s="804">
        <v>8</v>
      </c>
      <c r="X62" s="379">
        <v>0</v>
      </c>
      <c r="Y62" s="430">
        <f>ROW()-6</f>
        <v>56</v>
      </c>
      <c r="Z62" s="430">
        <f>IF(OR($AN$18=Devices[[#This Row],[Input Type]], 0=Devices[[#This Row],[Input Type]]),Devices[[#This Row],[Row Num]], " ")</f>
        <v>56</v>
      </c>
      <c r="AA62" s="430" t="str">
        <f>IF(OR($AN$19=Devices[[#This Row],[Input Type]], 0=Devices[[#This Row],[Input Type]]),Devices[[#This Row],[Row Num]], " ")</f>
        <v xml:space="preserve"> </v>
      </c>
      <c r="AB62" s="430" t="str">
        <f>IF(OR($AN$20=Devices[[#This Row],[Input Type]], 0=Devices[[#This Row],[Input Type]]),Devices[[#This Row],[Row Num]], " ")</f>
        <v xml:space="preserve"> </v>
      </c>
      <c r="AC62" s="430" t="str">
        <f>IF(0=Devices[[#This Row],[Input Type]], Devices[[#This Row],[Row Num]], " ")</f>
        <v xml:space="preserve"> </v>
      </c>
      <c r="AD62" s="430">
        <f>IFERROR(SMALL(Devices[Row Sel D], Devices[[#This Row],[Row Num]]), " ")</f>
        <v>74</v>
      </c>
      <c r="AE62" s="430" t="str">
        <f>IFERROR(SMALL(Devices[Row Sel IntRdiv], Devices[[#This Row],[Row Num]]), " ")</f>
        <v xml:space="preserve"> </v>
      </c>
      <c r="AF62" s="430">
        <f>IFERROR(SMALL(Devices[Row Sel SE], Devices[[#This Row],[Row Num]]), " ")</f>
        <v>121</v>
      </c>
      <c r="AG62" s="430" t="str">
        <f>IFERROR(SMALL(Devices[Row Sel N], Devices[[#This Row],[Row Num]]), " ")</f>
        <v xml:space="preserve"> </v>
      </c>
      <c r="AH62" s="430" t="str">
        <f>IFERROR(INDEX(Devices[Part], Devices[[#This Row],[Sel D]], 1), "")</f>
        <v>AMC1400</v>
      </c>
      <c r="AI62" s="430" t="str">
        <f>IFERROR(INDEX(Devices[Part], Devices[[#This Row],[Sel IntRdiv]], 1), "")</f>
        <v/>
      </c>
      <c r="AJ62" s="430">
        <f>IFERROR(INDEX(Devices[Part], Devices[[#This Row],[Sel SE]], 1), "")</f>
        <v>0</v>
      </c>
      <c r="AK62" s="430" t="str">
        <f>IFERROR(INDEX(Devices[Part], Devices[[#This Row],[Sel N]], 1), "")</f>
        <v/>
      </c>
      <c r="AM62" s="311"/>
    </row>
    <row r="63" spans="1:39" s="427" customFormat="1" ht="15" customHeight="1">
      <c r="A63" s="349" t="s">
        <v>215</v>
      </c>
      <c r="B63" s="331" t="s">
        <v>51</v>
      </c>
      <c r="C63" s="483" t="s">
        <v>51</v>
      </c>
      <c r="D63" s="314">
        <v>4.0000000000000002E-4</v>
      </c>
      <c r="E63" s="314">
        <v>2E-3</v>
      </c>
      <c r="F63" s="315">
        <v>3</v>
      </c>
      <c r="G63" s="315">
        <v>35</v>
      </c>
      <c r="H63" s="479">
        <v>2.5000000000000001E-3</v>
      </c>
      <c r="I63" s="479">
        <v>0.05</v>
      </c>
      <c r="J63" s="317">
        <v>0.15</v>
      </c>
      <c r="K63" s="317">
        <v>0.8</v>
      </c>
      <c r="L63" s="314">
        <v>1E-4</v>
      </c>
      <c r="M63" s="314">
        <v>2.9999999999999997E-4</v>
      </c>
      <c r="N63" s="315">
        <v>1</v>
      </c>
      <c r="O63" s="315">
        <v>3</v>
      </c>
      <c r="P63" s="344">
        <v>50</v>
      </c>
      <c r="Q63" s="480" t="s">
        <v>459</v>
      </c>
      <c r="R63" s="345">
        <v>-55</v>
      </c>
      <c r="S63" s="345">
        <v>125</v>
      </c>
      <c r="T63" s="321"/>
      <c r="U63" s="321">
        <v>4750</v>
      </c>
      <c r="V63" s="346">
        <v>4900</v>
      </c>
      <c r="W63" s="804">
        <v>41</v>
      </c>
      <c r="X63" s="324">
        <v>36</v>
      </c>
      <c r="Y63" s="430">
        <f>ROW()-6</f>
        <v>57</v>
      </c>
      <c r="Z63" s="430">
        <f>IF(OR($AN$18=Devices[[#This Row],[Input Type]], 0=Devices[[#This Row],[Input Type]]),Devices[[#This Row],[Row Num]], " ")</f>
        <v>57</v>
      </c>
      <c r="AA63" s="430" t="str">
        <f>IF(OR($AN$19=Devices[[#This Row],[Input Type]], 0=Devices[[#This Row],[Input Type]]),Devices[[#This Row],[Row Num]], " ")</f>
        <v xml:space="preserve"> </v>
      </c>
      <c r="AB63" s="430" t="str">
        <f>IF(OR($AN$20=Devices[[#This Row],[Input Type]], 0=Devices[[#This Row],[Input Type]]),Devices[[#This Row],[Row Num]], " ")</f>
        <v xml:space="preserve"> </v>
      </c>
      <c r="AC63" s="430" t="str">
        <f>IF(0=Devices[[#This Row],[Input Type]], Devices[[#This Row],[Row Num]], " ")</f>
        <v xml:space="preserve"> </v>
      </c>
      <c r="AD63" s="430">
        <f>IFERROR(SMALL(Devices[Row Sel D], Devices[[#This Row],[Row Num]]), " ")</f>
        <v>76</v>
      </c>
      <c r="AE63" s="430" t="str">
        <f>IFERROR(SMALL(Devices[Row Sel IntRdiv], Devices[[#This Row],[Row Num]]), " ")</f>
        <v xml:space="preserve"> </v>
      </c>
      <c r="AF63" s="430">
        <f>IFERROR(SMALL(Devices[Row Sel SE], Devices[[#This Row],[Row Num]]), " ")</f>
        <v>122</v>
      </c>
      <c r="AG63" s="430" t="str">
        <f>IFERROR(SMALL(Devices[Row Sel N], Devices[[#This Row],[Row Num]]), " ")</f>
        <v xml:space="preserve"> </v>
      </c>
      <c r="AH63" s="430" t="str">
        <f>IFERROR(INDEX(Devices[Part], Devices[[#This Row],[Sel D]], 1), "")</f>
        <v>AMC3301</v>
      </c>
      <c r="AI63" s="430" t="str">
        <f>IFERROR(INDEX(Devices[Part], Devices[[#This Row],[Sel IntRdiv]], 1), "")</f>
        <v/>
      </c>
      <c r="AJ63" s="430">
        <f>IFERROR(INDEX(Devices[Part], Devices[[#This Row],[Sel SE]], 1), "")</f>
        <v>0</v>
      </c>
      <c r="AK63" s="430" t="str">
        <f>IFERROR(INDEX(Devices[Part], Devices[[#This Row],[Sel N]], 1), "")</f>
        <v/>
      </c>
      <c r="AM63" s="311"/>
    </row>
    <row r="64" spans="1:39" ht="15" customHeight="1">
      <c r="A64" s="326" t="s">
        <v>201</v>
      </c>
      <c r="B64" s="477" t="s">
        <v>52</v>
      </c>
      <c r="C64" s="429" t="s">
        <v>51</v>
      </c>
      <c r="D64" s="314">
        <v>5.0000000000000001E-4</v>
      </c>
      <c r="E64" s="314">
        <v>2E-3</v>
      </c>
      <c r="F64" s="315">
        <v>5</v>
      </c>
      <c r="G64" s="315">
        <v>40</v>
      </c>
      <c r="H64" s="327">
        <v>0.4</v>
      </c>
      <c r="I64" s="316">
        <v>1.5</v>
      </c>
      <c r="J64" s="317">
        <v>3</v>
      </c>
      <c r="K64" s="317">
        <v>10</v>
      </c>
      <c r="L64" s="314">
        <v>1E-4</v>
      </c>
      <c r="M64" s="314">
        <v>4.0000000000000002E-4</v>
      </c>
      <c r="N64" s="315">
        <v>1</v>
      </c>
      <c r="O64" s="315">
        <v>3</v>
      </c>
      <c r="P64" s="318">
        <v>2000</v>
      </c>
      <c r="Q64" s="478" t="s">
        <v>460</v>
      </c>
      <c r="R64" s="319">
        <v>-40</v>
      </c>
      <c r="S64" s="319">
        <v>125</v>
      </c>
      <c r="T64" s="320"/>
      <c r="U64" s="320">
        <v>1000000000</v>
      </c>
      <c r="V64" s="320">
        <v>1000000000</v>
      </c>
      <c r="W64" s="804">
        <v>1</v>
      </c>
      <c r="X64" s="328">
        <v>3.5000000000000001E-3</v>
      </c>
      <c r="Y64" s="329">
        <f>ROW()-6</f>
        <v>58</v>
      </c>
      <c r="Z64" s="329" t="str">
        <f>IF(OR($AN$18=Devices[[#This Row],[Input Type]], 0=Devices[[#This Row],[Input Type]]),Devices[[#This Row],[Row Num]], " ")</f>
        <v xml:space="preserve"> </v>
      </c>
      <c r="AA64" s="329" t="str">
        <f>IF(OR($AN$19=Devices[[#This Row],[Input Type]], 0=Devices[[#This Row],[Input Type]]),Devices[[#This Row],[Row Num]], " ")</f>
        <v xml:space="preserve"> </v>
      </c>
      <c r="AB64" s="329">
        <f>IF(OR($AN$20=Devices[[#This Row],[Input Type]], 0=Devices[[#This Row],[Input Type]]),Devices[[#This Row],[Row Num]], " ")</f>
        <v>58</v>
      </c>
      <c r="AC64" s="329" t="str">
        <f>IF(0=Devices[[#This Row],[Input Type]], Devices[[#This Row],[Row Num]], " ")</f>
        <v xml:space="preserve"> </v>
      </c>
      <c r="AD64" s="329">
        <f>IFERROR(SMALL(Devices[Row Sel D], Devices[[#This Row],[Row Num]]), " ")</f>
        <v>77</v>
      </c>
      <c r="AE64" s="329" t="str">
        <f>IFERROR(SMALL(Devices[Row Sel IntRdiv], Devices[[#This Row],[Row Num]]), " ")</f>
        <v xml:space="preserve"> </v>
      </c>
      <c r="AF64" s="329">
        <f>IFERROR(SMALL(Devices[Row Sel SE], Devices[[#This Row],[Row Num]]), " ")</f>
        <v>123</v>
      </c>
      <c r="AG64" s="329" t="str">
        <f>IFERROR(SMALL(Devices[Row Sel N], Devices[[#This Row],[Row Num]]), " ")</f>
        <v xml:space="preserve"> </v>
      </c>
      <c r="AH64" s="329" t="str">
        <f>IFERROR(INDEX(Devices[Part], Devices[[#This Row],[Sel D]], 1), "")</f>
        <v>AMC3301-Q1</v>
      </c>
      <c r="AI64" s="329" t="str">
        <f>IFERROR(INDEX(Devices[Part], Devices[[#This Row],[Sel IntRdiv]], 1), "")</f>
        <v/>
      </c>
      <c r="AJ64" s="329">
        <f>IFERROR(INDEX(Devices[Part], Devices[[#This Row],[Sel SE]], 1), "")</f>
        <v>0</v>
      </c>
      <c r="AK64" s="329" t="str">
        <f>IFERROR(INDEX(Devices[Part], Devices[[#This Row],[Sel N]], 1), "")</f>
        <v/>
      </c>
    </row>
    <row r="65" spans="1:39" ht="15" customHeight="1">
      <c r="A65" s="330" t="s">
        <v>13</v>
      </c>
      <c r="B65" s="477" t="s">
        <v>51</v>
      </c>
      <c r="C65" s="429" t="s">
        <v>51</v>
      </c>
      <c r="D65" s="332">
        <v>4.0000000000000001E-3</v>
      </c>
      <c r="E65" s="332">
        <v>0.01</v>
      </c>
      <c r="F65" s="333">
        <v>50</v>
      </c>
      <c r="G65" s="333">
        <v>150</v>
      </c>
      <c r="H65" s="334">
        <v>0.01</v>
      </c>
      <c r="I65" s="334">
        <v>2</v>
      </c>
      <c r="J65" s="335">
        <v>1.3</v>
      </c>
      <c r="K65" s="335">
        <v>4</v>
      </c>
      <c r="L65" s="336">
        <v>1E-4</v>
      </c>
      <c r="M65" s="336">
        <v>2.9999999999999997E-4</v>
      </c>
      <c r="N65" s="333">
        <v>1</v>
      </c>
      <c r="O65" s="333">
        <v>3</v>
      </c>
      <c r="P65" s="337">
        <v>250</v>
      </c>
      <c r="Q65" s="478" t="s">
        <v>459</v>
      </c>
      <c r="R65" s="319">
        <v>-40</v>
      </c>
      <c r="S65" s="319">
        <v>125</v>
      </c>
      <c r="T65" s="322">
        <v>12500</v>
      </c>
      <c r="U65" s="321">
        <v>19000</v>
      </c>
      <c r="V65" s="320">
        <v>22000</v>
      </c>
      <c r="W65" s="804">
        <v>8.1999999999999993</v>
      </c>
      <c r="X65" s="324">
        <v>30</v>
      </c>
      <c r="Y65" s="309">
        <f t="shared" si="0"/>
        <v>59</v>
      </c>
      <c r="Z65" s="309">
        <f>IF(OR($AN$18=Devices[[#This Row],[Input Type]], 0=Devices[[#This Row],[Input Type]]),Devices[[#This Row],[Row Num]], " ")</f>
        <v>59</v>
      </c>
      <c r="AA65" s="309" t="str">
        <f>IF(OR($AN$19=Devices[[#This Row],[Input Type]], 0=Devices[[#This Row],[Input Type]]),Devices[[#This Row],[Row Num]], " ")</f>
        <v xml:space="preserve"> </v>
      </c>
      <c r="AB65" s="309" t="str">
        <f>IF(OR($AN$20=Devices[[#This Row],[Input Type]], 0=Devices[[#This Row],[Input Type]]),Devices[[#This Row],[Row Num]], " ")</f>
        <v xml:space="preserve"> </v>
      </c>
      <c r="AC65" s="309" t="str">
        <f>IF(0=Devices[[#This Row],[Input Type]], Devices[[#This Row],[Row Num]], " ")</f>
        <v xml:space="preserve"> </v>
      </c>
      <c r="AD65" s="310">
        <f>IFERROR(SMALL(Devices[Row Sel D], Devices[[#This Row],[Row Num]]), " ")</f>
        <v>78</v>
      </c>
      <c r="AE65" s="310" t="str">
        <f>IFERROR(SMALL(Devices[Row Sel IntRdiv], Devices[[#This Row],[Row Num]]), " ")</f>
        <v xml:space="preserve"> </v>
      </c>
      <c r="AF65" s="310">
        <f>IFERROR(SMALL(Devices[Row Sel SE], Devices[[#This Row],[Row Num]]), " ")</f>
        <v>124</v>
      </c>
      <c r="AG65" s="310" t="str">
        <f>IFERROR(SMALL(Devices[Row Sel N], Devices[[#This Row],[Row Num]]), " ")</f>
        <v xml:space="preserve"> </v>
      </c>
      <c r="AH65" s="310" t="str">
        <f>IFERROR(INDEX(Devices[Part], Devices[[#This Row],[Sel D]], 1), "")</f>
        <v>AMC3302</v>
      </c>
      <c r="AI65" s="310" t="str">
        <f>IFERROR(INDEX(Devices[Part], Devices[[#This Row],[Sel IntRdiv]], 1), "")</f>
        <v/>
      </c>
      <c r="AJ65" s="310">
        <f>IFERROR(INDEX(Devices[Part], Devices[[#This Row],[Sel SE]], 1), "")</f>
        <v>0</v>
      </c>
      <c r="AK65" s="310" t="str">
        <f>IFERROR(INDEX(Devices[Part], Devices[[#This Row],[Sel N]], 1), "")</f>
        <v/>
      </c>
    </row>
    <row r="66" spans="1:39" ht="15" customHeight="1">
      <c r="A66" s="338" t="s">
        <v>73</v>
      </c>
      <c r="B66" s="477" t="s">
        <v>51</v>
      </c>
      <c r="C66" s="429" t="s">
        <v>51</v>
      </c>
      <c r="D66" s="340">
        <v>5.0000000000000001E-4</v>
      </c>
      <c r="E66" s="340">
        <v>3.0000000000000001E-3</v>
      </c>
      <c r="F66" s="341">
        <v>5</v>
      </c>
      <c r="G66" s="341">
        <v>30</v>
      </c>
      <c r="H66" s="342">
        <v>0.01</v>
      </c>
      <c r="I66" s="342">
        <v>0.2</v>
      </c>
      <c r="J66" s="343">
        <v>0.1</v>
      </c>
      <c r="K66" s="343">
        <v>0.9</v>
      </c>
      <c r="L66" s="340">
        <v>1E-4</v>
      </c>
      <c r="M66" s="340">
        <v>2.9999999999999997E-4</v>
      </c>
      <c r="N66" s="341">
        <v>1</v>
      </c>
      <c r="O66" s="341">
        <v>3</v>
      </c>
      <c r="P66" s="344">
        <v>250</v>
      </c>
      <c r="Q66" s="478" t="s">
        <v>459</v>
      </c>
      <c r="R66" s="319">
        <v>-55</v>
      </c>
      <c r="S66" s="319">
        <v>125</v>
      </c>
      <c r="T66" s="321">
        <v>12500</v>
      </c>
      <c r="U66" s="321">
        <v>19000</v>
      </c>
      <c r="V66" s="320">
        <v>22222</v>
      </c>
      <c r="W66" s="804">
        <v>8.1999999999999993</v>
      </c>
      <c r="X66" s="324">
        <v>30</v>
      </c>
      <c r="Y66" s="309">
        <f t="shared" si="0"/>
        <v>60</v>
      </c>
      <c r="Z66" s="309">
        <f>IF(OR($AN$18=Devices[[#This Row],[Input Type]], 0=Devices[[#This Row],[Input Type]]),Devices[[#This Row],[Row Num]], " ")</f>
        <v>60</v>
      </c>
      <c r="AA66" s="309" t="str">
        <f>IF(OR($AN$19=Devices[[#This Row],[Input Type]], 0=Devices[[#This Row],[Input Type]]),Devices[[#This Row],[Row Num]], " ")</f>
        <v xml:space="preserve"> </v>
      </c>
      <c r="AB66" s="309" t="str">
        <f>IF(OR($AN$20=Devices[[#This Row],[Input Type]], 0=Devices[[#This Row],[Input Type]]),Devices[[#This Row],[Row Num]], " ")</f>
        <v xml:space="preserve"> </v>
      </c>
      <c r="AC66" s="309" t="str">
        <f>IF(0=Devices[[#This Row],[Input Type]], Devices[[#This Row],[Row Num]], " ")</f>
        <v xml:space="preserve"> </v>
      </c>
      <c r="AD66" s="310">
        <f>IFERROR(SMALL(Devices[Row Sel D], Devices[[#This Row],[Row Num]]), " ")</f>
        <v>79</v>
      </c>
      <c r="AE66" s="310" t="str">
        <f>IFERROR(SMALL(Devices[Row Sel IntRdiv], Devices[[#This Row],[Row Num]]), " ")</f>
        <v xml:space="preserve"> </v>
      </c>
      <c r="AF66" s="310">
        <f>IFERROR(SMALL(Devices[Row Sel SE], Devices[[#This Row],[Row Num]]), " ")</f>
        <v>125</v>
      </c>
      <c r="AG66" s="310" t="str">
        <f>IFERROR(SMALL(Devices[Row Sel N], Devices[[#This Row],[Row Num]]), " ")</f>
        <v xml:space="preserve"> </v>
      </c>
      <c r="AH66" s="310" t="str">
        <f>IFERROR(INDEX(Devices[Part], Devices[[#This Row],[Sel D]], 1), "")</f>
        <v>AMC3302-Q1</v>
      </c>
      <c r="AI66" s="310" t="str">
        <f>IFERROR(INDEX(Devices[Part], Devices[[#This Row],[Sel IntRdiv]], 1), "")</f>
        <v/>
      </c>
      <c r="AJ66" s="310">
        <f>IFERROR(INDEX(Devices[Part], Devices[[#This Row],[Sel SE]], 1), "")</f>
        <v>0</v>
      </c>
      <c r="AK66" s="310" t="str">
        <f>IFERROR(INDEX(Devices[Part], Devices[[#This Row],[Sel N]], 1), "")</f>
        <v/>
      </c>
      <c r="AM66" s="311"/>
    </row>
    <row r="67" spans="1:39" ht="15" customHeight="1">
      <c r="A67" s="330" t="s">
        <v>61</v>
      </c>
      <c r="B67" s="477" t="s">
        <v>51</v>
      </c>
      <c r="C67" s="429" t="s">
        <v>51</v>
      </c>
      <c r="D67" s="332">
        <v>4.0000000000000001E-3</v>
      </c>
      <c r="E67" s="332">
        <v>0.01</v>
      </c>
      <c r="F67" s="333">
        <v>50</v>
      </c>
      <c r="G67" s="333">
        <v>150</v>
      </c>
      <c r="H67" s="334">
        <v>0.01</v>
      </c>
      <c r="I67" s="334">
        <v>2</v>
      </c>
      <c r="J67" s="335">
        <v>1.3</v>
      </c>
      <c r="K67" s="335">
        <v>4</v>
      </c>
      <c r="L67" s="336">
        <v>1E-4</v>
      </c>
      <c r="M67" s="336">
        <v>2.9999999999999997E-4</v>
      </c>
      <c r="N67" s="333">
        <v>1</v>
      </c>
      <c r="O67" s="333">
        <v>3</v>
      </c>
      <c r="P67" s="337">
        <v>250</v>
      </c>
      <c r="Q67" s="478" t="s">
        <v>459</v>
      </c>
      <c r="R67" s="319">
        <v>-40</v>
      </c>
      <c r="S67" s="319">
        <v>125</v>
      </c>
      <c r="T67" s="322">
        <v>12500</v>
      </c>
      <c r="U67" s="347">
        <v>19000</v>
      </c>
      <c r="V67" s="320">
        <v>22000</v>
      </c>
      <c r="W67" s="804">
        <v>8.1999999999999993</v>
      </c>
      <c r="X67" s="348">
        <v>30</v>
      </c>
      <c r="Y67" s="309">
        <f t="shared" si="0"/>
        <v>61</v>
      </c>
      <c r="Z67" s="309">
        <f>IF(OR($AN$18=Devices[[#This Row],[Input Type]], 0=Devices[[#This Row],[Input Type]]),Devices[[#This Row],[Row Num]], " ")</f>
        <v>61</v>
      </c>
      <c r="AA67" s="309" t="str">
        <f>IF(OR($AN$19=Devices[[#This Row],[Input Type]], 0=Devices[[#This Row],[Input Type]]),Devices[[#This Row],[Row Num]], " ")</f>
        <v xml:space="preserve"> </v>
      </c>
      <c r="AB67" s="309" t="str">
        <f>IF(OR($AN$20=Devices[[#This Row],[Input Type]], 0=Devices[[#This Row],[Input Type]]),Devices[[#This Row],[Row Num]], " ")</f>
        <v xml:space="preserve"> </v>
      </c>
      <c r="AC67" s="309" t="str">
        <f>IF(0=Devices[[#This Row],[Input Type]], Devices[[#This Row],[Row Num]], " ")</f>
        <v xml:space="preserve"> </v>
      </c>
      <c r="AD67" s="310">
        <f>IFERROR(SMALL(Devices[Row Sel D], Devices[[#This Row],[Row Num]]), " ")</f>
        <v>82</v>
      </c>
      <c r="AE67" s="310" t="str">
        <f>IFERROR(SMALL(Devices[Row Sel IntRdiv], Devices[[#This Row],[Row Num]]), " ")</f>
        <v xml:space="preserve"> </v>
      </c>
      <c r="AF67" s="310">
        <f>IFERROR(SMALL(Devices[Row Sel SE], Devices[[#This Row],[Row Num]]), " ")</f>
        <v>126</v>
      </c>
      <c r="AG67" s="310" t="str">
        <f>IFERROR(SMALL(Devices[Row Sel N], Devices[[#This Row],[Row Num]]), " ")</f>
        <v xml:space="preserve"> </v>
      </c>
      <c r="AH67" s="310" t="str">
        <f>IFERROR(INDEX(Devices[Part], Devices[[#This Row],[Sel D]], 1), "")</f>
        <v>AMC3330</v>
      </c>
      <c r="AI67" s="310" t="str">
        <f>IFERROR(INDEX(Devices[Part], Devices[[#This Row],[Sel IntRdiv]], 1), "")</f>
        <v/>
      </c>
      <c r="AJ67" s="310">
        <f>IFERROR(INDEX(Devices[Part], Devices[[#This Row],[Sel SE]], 1), "")</f>
        <v>0</v>
      </c>
      <c r="AK67" s="310" t="str">
        <f>IFERROR(INDEX(Devices[Part], Devices[[#This Row],[Sel N]], 1), "")</f>
        <v/>
      </c>
    </row>
    <row r="68" spans="1:39" ht="15" customHeight="1">
      <c r="A68" s="349" t="s">
        <v>205</v>
      </c>
      <c r="B68" s="477" t="s">
        <v>51</v>
      </c>
      <c r="C68" s="429" t="s">
        <v>51</v>
      </c>
      <c r="D68" s="340">
        <v>4.0000000000000002E-4</v>
      </c>
      <c r="E68" s="340">
        <v>3.0000000000000001E-3</v>
      </c>
      <c r="F68" s="341">
        <v>5</v>
      </c>
      <c r="G68" s="341">
        <v>30</v>
      </c>
      <c r="H68" s="342">
        <v>0.01</v>
      </c>
      <c r="I68" s="342">
        <v>0.2</v>
      </c>
      <c r="J68" s="343">
        <v>0.1</v>
      </c>
      <c r="K68" s="343">
        <v>0.9</v>
      </c>
      <c r="L68" s="340">
        <v>1E-4</v>
      </c>
      <c r="M68" s="340">
        <v>2.9999999999999997E-4</v>
      </c>
      <c r="N68" s="341">
        <v>0.4</v>
      </c>
      <c r="O68" s="341">
        <v>1.2</v>
      </c>
      <c r="P68" s="344">
        <v>250</v>
      </c>
      <c r="Q68" s="478" t="s">
        <v>459</v>
      </c>
      <c r="R68" s="319">
        <v>-40</v>
      </c>
      <c r="S68" s="319">
        <v>125</v>
      </c>
      <c r="T68" s="321">
        <v>12500</v>
      </c>
      <c r="U68" s="321">
        <v>19000</v>
      </c>
      <c r="V68" s="320">
        <v>22000</v>
      </c>
      <c r="W68" s="804">
        <v>8.1999999999999993</v>
      </c>
      <c r="X68" s="324">
        <v>30</v>
      </c>
      <c r="Y68" s="309">
        <f t="shared" si="0"/>
        <v>62</v>
      </c>
      <c r="Z68" s="309">
        <f>IF(OR($AN$18=Devices[[#This Row],[Input Type]], 0=Devices[[#This Row],[Input Type]]),Devices[[#This Row],[Row Num]], " ")</f>
        <v>62</v>
      </c>
      <c r="AA68" s="309" t="str">
        <f>IF(OR($AN$19=Devices[[#This Row],[Input Type]], 0=Devices[[#This Row],[Input Type]]),Devices[[#This Row],[Row Num]], " ")</f>
        <v xml:space="preserve"> </v>
      </c>
      <c r="AB68" s="309" t="str">
        <f>IF(OR($AN$20=Devices[[#This Row],[Input Type]], 0=Devices[[#This Row],[Input Type]]),Devices[[#This Row],[Row Num]], " ")</f>
        <v xml:space="preserve"> </v>
      </c>
      <c r="AC68" s="309" t="str">
        <f>IF(0=Devices[[#This Row],[Input Type]], Devices[[#This Row],[Row Num]], " ")</f>
        <v xml:space="preserve"> </v>
      </c>
      <c r="AD68" s="310">
        <f>IFERROR(SMALL(Devices[Row Sel D], Devices[[#This Row],[Row Num]]), " ")</f>
        <v>83</v>
      </c>
      <c r="AE68" s="310" t="str">
        <f>IFERROR(SMALL(Devices[Row Sel IntRdiv], Devices[[#This Row],[Row Num]]), " ")</f>
        <v xml:space="preserve"> </v>
      </c>
      <c r="AF68" s="310">
        <f>IFERROR(SMALL(Devices[Row Sel SE], Devices[[#This Row],[Row Num]]), " ")</f>
        <v>127</v>
      </c>
      <c r="AG68" s="310" t="str">
        <f>IFERROR(SMALL(Devices[Row Sel N], Devices[[#This Row],[Row Num]]), " ")</f>
        <v xml:space="preserve"> </v>
      </c>
      <c r="AH68" s="310" t="str">
        <f>IFERROR(INDEX(Devices[Part], Devices[[#This Row],[Sel D]], 1), "")</f>
        <v>AMC3330-Q1</v>
      </c>
      <c r="AI68" s="310" t="str">
        <f>IFERROR(INDEX(Devices[Part], Devices[[#This Row],[Sel IntRdiv]], 1), "")</f>
        <v/>
      </c>
      <c r="AJ68" s="310">
        <f>IFERROR(INDEX(Devices[Part], Devices[[#This Row],[Sel SE]], 1), "")</f>
        <v>0</v>
      </c>
      <c r="AK68" s="310" t="str">
        <f>IFERROR(INDEX(Devices[Part], Devices[[#This Row],[Sel N]], 1), "")</f>
        <v/>
      </c>
    </row>
    <row r="69" spans="1:39" ht="15" customHeight="1">
      <c r="A69" s="330" t="s">
        <v>14</v>
      </c>
      <c r="B69" s="477" t="s">
        <v>51</v>
      </c>
      <c r="C69" s="429" t="s">
        <v>51</v>
      </c>
      <c r="D69" s="351">
        <v>5.0000000000000001E-4</v>
      </c>
      <c r="E69" s="351">
        <v>3.0000000000000001E-3</v>
      </c>
      <c r="F69" s="352">
        <v>15</v>
      </c>
      <c r="G69" s="352">
        <v>50</v>
      </c>
      <c r="H69" s="353">
        <v>0.05</v>
      </c>
      <c r="I69" s="353">
        <v>0.2</v>
      </c>
      <c r="J69" s="354">
        <v>1</v>
      </c>
      <c r="K69" s="354">
        <v>3</v>
      </c>
      <c r="L69" s="351">
        <v>1E-4</v>
      </c>
      <c r="M69" s="351">
        <v>2.9999999999999997E-4</v>
      </c>
      <c r="N69" s="352">
        <v>1</v>
      </c>
      <c r="O69" s="352">
        <v>3</v>
      </c>
      <c r="P69" s="355">
        <v>250</v>
      </c>
      <c r="Q69" s="478" t="s">
        <v>459</v>
      </c>
      <c r="R69" s="319">
        <v>-40</v>
      </c>
      <c r="S69" s="319">
        <v>125</v>
      </c>
      <c r="T69" s="322">
        <v>12500</v>
      </c>
      <c r="U69" s="322">
        <v>18000</v>
      </c>
      <c r="V69" s="320">
        <v>22000</v>
      </c>
      <c r="W69" s="804">
        <v>8.1999999999999993</v>
      </c>
      <c r="X69" s="356">
        <v>30</v>
      </c>
      <c r="Y69" s="309">
        <f t="shared" si="0"/>
        <v>63</v>
      </c>
      <c r="Z69" s="309">
        <f>IF(OR($AN$18=Devices[[#This Row],[Input Type]], 0=Devices[[#This Row],[Input Type]]),Devices[[#This Row],[Row Num]], " ")</f>
        <v>63</v>
      </c>
      <c r="AA69" s="309" t="str">
        <f>IF(OR($AN$19=Devices[[#This Row],[Input Type]], 0=Devices[[#This Row],[Input Type]]),Devices[[#This Row],[Row Num]], " ")</f>
        <v xml:space="preserve"> </v>
      </c>
      <c r="AB69" s="309" t="str">
        <f>IF(OR($AN$20=Devices[[#This Row],[Input Type]], 0=Devices[[#This Row],[Input Type]]),Devices[[#This Row],[Row Num]], " ")</f>
        <v xml:space="preserve"> </v>
      </c>
      <c r="AC69" s="309" t="str">
        <f>IF(0=Devices[[#This Row],[Input Type]], Devices[[#This Row],[Row Num]], " ")</f>
        <v xml:space="preserve"> </v>
      </c>
      <c r="AD69" s="310">
        <f>IFERROR(SMALL(Devices[Row Sel D], Devices[[#This Row],[Row Num]]), " ")</f>
        <v>90</v>
      </c>
      <c r="AE69" s="310" t="str">
        <f>IFERROR(SMALL(Devices[Row Sel IntRdiv], Devices[[#This Row],[Row Num]]), " ")</f>
        <v xml:space="preserve"> </v>
      </c>
      <c r="AF69" s="310" t="str">
        <f>IFERROR(SMALL(Devices[Row Sel SE], Devices[[#This Row],[Row Num]]), " ")</f>
        <v xml:space="preserve"> </v>
      </c>
      <c r="AG69" s="310" t="str">
        <f>IFERROR(SMALL(Devices[Row Sel N], Devices[[#This Row],[Row Num]]), " ")</f>
        <v xml:space="preserve"> </v>
      </c>
      <c r="AH69" s="310">
        <f>IFERROR(INDEX(Devices[Part], Devices[[#This Row],[Sel D]], 1), "")</f>
        <v>0</v>
      </c>
      <c r="AI69" s="310" t="str">
        <f>IFERROR(INDEX(Devices[Part], Devices[[#This Row],[Sel IntRdiv]], 1), "")</f>
        <v/>
      </c>
      <c r="AJ69" s="310" t="str">
        <f>IFERROR(INDEX(Devices[Part], Devices[[#This Row],[Sel SE]], 1), "")</f>
        <v/>
      </c>
      <c r="AK69" s="310" t="str">
        <f>IFERROR(INDEX(Devices[Part], Devices[[#This Row],[Sel N]], 1), "")</f>
        <v/>
      </c>
      <c r="AM69" s="311"/>
    </row>
    <row r="70" spans="1:39" ht="15" customHeight="1">
      <c r="A70" s="338" t="s">
        <v>72</v>
      </c>
      <c r="B70" s="477" t="s">
        <v>51</v>
      </c>
      <c r="C70" s="429" t="s">
        <v>51</v>
      </c>
      <c r="D70" s="340">
        <v>5.0000000000000001E-4</v>
      </c>
      <c r="E70" s="351">
        <v>3.0000000000000001E-3</v>
      </c>
      <c r="F70" s="352">
        <v>15</v>
      </c>
      <c r="G70" s="352">
        <v>60</v>
      </c>
      <c r="H70" s="353">
        <v>0.05</v>
      </c>
      <c r="I70" s="353">
        <v>0.2</v>
      </c>
      <c r="J70" s="354">
        <v>1</v>
      </c>
      <c r="K70" s="354">
        <v>4</v>
      </c>
      <c r="L70" s="351">
        <v>1E-4</v>
      </c>
      <c r="M70" s="351">
        <v>2.9999999999999997E-4</v>
      </c>
      <c r="N70" s="352">
        <v>1</v>
      </c>
      <c r="O70" s="352">
        <v>3</v>
      </c>
      <c r="P70" s="355">
        <v>250</v>
      </c>
      <c r="Q70" s="478" t="s">
        <v>459</v>
      </c>
      <c r="R70" s="319">
        <v>-55</v>
      </c>
      <c r="S70" s="319">
        <v>125</v>
      </c>
      <c r="T70" s="322">
        <v>12500</v>
      </c>
      <c r="U70" s="322">
        <v>18000</v>
      </c>
      <c r="V70" s="320">
        <v>22000</v>
      </c>
      <c r="W70" s="804">
        <v>8.1999999999999993</v>
      </c>
      <c r="X70" s="324">
        <v>30</v>
      </c>
      <c r="Y70" s="309">
        <f t="shared" si="0"/>
        <v>64</v>
      </c>
      <c r="Z70" s="309">
        <f>IF(OR($AN$18=Devices[[#This Row],[Input Type]], 0=Devices[[#This Row],[Input Type]]),Devices[[#This Row],[Row Num]], " ")</f>
        <v>64</v>
      </c>
      <c r="AA70" s="309" t="str">
        <f>IF(OR($AN$19=Devices[[#This Row],[Input Type]], 0=Devices[[#This Row],[Input Type]]),Devices[[#This Row],[Row Num]], " ")</f>
        <v xml:space="preserve"> </v>
      </c>
      <c r="AB70" s="309" t="str">
        <f>IF(OR($AN$20=Devices[[#This Row],[Input Type]], 0=Devices[[#This Row],[Input Type]]),Devices[[#This Row],[Row Num]], " ")</f>
        <v xml:space="preserve"> </v>
      </c>
      <c r="AC70" s="309" t="str">
        <f>IF(0=Devices[[#This Row],[Input Type]], Devices[[#This Row],[Row Num]], " ")</f>
        <v xml:space="preserve"> </v>
      </c>
      <c r="AD70" s="310">
        <f>IFERROR(SMALL(Devices[Row Sel D], Devices[[#This Row],[Row Num]]), " ")</f>
        <v>91</v>
      </c>
      <c r="AE70" s="310" t="str">
        <f>IFERROR(SMALL(Devices[Row Sel IntRdiv], Devices[[#This Row],[Row Num]]), " ")</f>
        <v xml:space="preserve"> </v>
      </c>
      <c r="AF70" s="310" t="str">
        <f>IFERROR(SMALL(Devices[Row Sel SE], Devices[[#This Row],[Row Num]]), " ")</f>
        <v xml:space="preserve"> </v>
      </c>
      <c r="AG70" s="310" t="str">
        <f>IFERROR(SMALL(Devices[Row Sel N], Devices[[#This Row],[Row Num]]), " ")</f>
        <v xml:space="preserve"> </v>
      </c>
      <c r="AH70" s="310">
        <f>IFERROR(INDEX(Devices[Part], Devices[[#This Row],[Sel D]], 1), "")</f>
        <v>0</v>
      </c>
      <c r="AI70" s="310" t="str">
        <f>IFERROR(INDEX(Devices[Part], Devices[[#This Row],[Sel IntRdiv]], 1), "")</f>
        <v/>
      </c>
      <c r="AJ70" s="310" t="str">
        <f>IFERROR(INDEX(Devices[Part], Devices[[#This Row],[Sel SE]], 1), "")</f>
        <v/>
      </c>
      <c r="AK70" s="310" t="str">
        <f>IFERROR(INDEX(Devices[Part], Devices[[#This Row],[Sel N]], 1), "")</f>
        <v/>
      </c>
    </row>
    <row r="71" spans="1:39" ht="15" customHeight="1">
      <c r="A71" s="330" t="s">
        <v>16</v>
      </c>
      <c r="B71" s="477" t="s">
        <v>51</v>
      </c>
      <c r="C71" s="429" t="s">
        <v>51</v>
      </c>
      <c r="D71" s="351">
        <v>5.0000000000000001E-4</v>
      </c>
      <c r="E71" s="351">
        <v>3.0000000000000001E-3</v>
      </c>
      <c r="F71" s="352">
        <v>15</v>
      </c>
      <c r="G71" s="352">
        <v>50</v>
      </c>
      <c r="H71" s="353">
        <v>0.05</v>
      </c>
      <c r="I71" s="353">
        <v>0.2</v>
      </c>
      <c r="J71" s="354">
        <v>1</v>
      </c>
      <c r="K71" s="354">
        <v>3</v>
      </c>
      <c r="L71" s="351">
        <v>1E-4</v>
      </c>
      <c r="M71" s="351">
        <v>2.9999999999999997E-4</v>
      </c>
      <c r="N71" s="352">
        <v>1</v>
      </c>
      <c r="O71" s="352">
        <v>3</v>
      </c>
      <c r="P71" s="355">
        <v>250</v>
      </c>
      <c r="Q71" s="478" t="s">
        <v>459</v>
      </c>
      <c r="R71" s="319">
        <v>-40</v>
      </c>
      <c r="S71" s="319">
        <v>125</v>
      </c>
      <c r="T71" s="322">
        <v>12500</v>
      </c>
      <c r="U71" s="322">
        <v>18000</v>
      </c>
      <c r="V71" s="320">
        <v>22000</v>
      </c>
      <c r="W71" s="804">
        <v>8.1999999999999993</v>
      </c>
      <c r="X71" s="356">
        <v>30</v>
      </c>
      <c r="Y71" s="309">
        <f t="shared" si="0"/>
        <v>65</v>
      </c>
      <c r="Z71" s="309">
        <f>IF(OR($AN$18=Devices[[#This Row],[Input Type]], 0=Devices[[#This Row],[Input Type]]),Devices[[#This Row],[Row Num]], " ")</f>
        <v>65</v>
      </c>
      <c r="AA71" s="309" t="str">
        <f>IF(OR($AN$19=Devices[[#This Row],[Input Type]], 0=Devices[[#This Row],[Input Type]]),Devices[[#This Row],[Row Num]], " ")</f>
        <v xml:space="preserve"> </v>
      </c>
      <c r="AB71" s="309" t="str">
        <f>IF(OR($AN$20=Devices[[#This Row],[Input Type]], 0=Devices[[#This Row],[Input Type]]),Devices[[#This Row],[Row Num]], " ")</f>
        <v xml:space="preserve"> </v>
      </c>
      <c r="AC71" s="309" t="str">
        <f>IF(0=Devices[[#This Row],[Input Type]], Devices[[#This Row],[Row Num]], " ")</f>
        <v xml:space="preserve"> </v>
      </c>
      <c r="AD71" s="310">
        <f>IFERROR(SMALL(Devices[Row Sel D], Devices[[#This Row],[Row Num]]), " ")</f>
        <v>92</v>
      </c>
      <c r="AE71" s="310" t="str">
        <f>IFERROR(SMALL(Devices[Row Sel IntRdiv], Devices[[#This Row],[Row Num]]), " ")</f>
        <v xml:space="preserve"> </v>
      </c>
      <c r="AF71" s="310" t="str">
        <f>IFERROR(SMALL(Devices[Row Sel SE], Devices[[#This Row],[Row Num]]), " ")</f>
        <v xml:space="preserve"> </v>
      </c>
      <c r="AG71" s="310" t="str">
        <f>IFERROR(SMALL(Devices[Row Sel N], Devices[[#This Row],[Row Num]]), " ")</f>
        <v xml:space="preserve"> </v>
      </c>
      <c r="AH71" s="310">
        <f>IFERROR(INDEX(Devices[Part], Devices[[#This Row],[Sel D]], 1), "")</f>
        <v>0</v>
      </c>
      <c r="AI71" s="310" t="str">
        <f>IFERROR(INDEX(Devices[Part], Devices[[#This Row],[Sel IntRdiv]], 1), "")</f>
        <v/>
      </c>
      <c r="AJ71" s="310" t="str">
        <f>IFERROR(INDEX(Devices[Part], Devices[[#This Row],[Sel SE]], 1), "")</f>
        <v/>
      </c>
      <c r="AK71" s="310" t="str">
        <f>IFERROR(INDEX(Devices[Part], Devices[[#This Row],[Sel N]], 1), "")</f>
        <v/>
      </c>
    </row>
    <row r="72" spans="1:39" ht="15" customHeight="1">
      <c r="A72" s="357" t="s">
        <v>15</v>
      </c>
      <c r="B72" s="477" t="s">
        <v>51</v>
      </c>
      <c r="C72" s="429" t="s">
        <v>51</v>
      </c>
      <c r="D72" s="340">
        <v>4.0000000000000002E-4</v>
      </c>
      <c r="E72" s="358">
        <v>2E-3</v>
      </c>
      <c r="F72" s="315">
        <v>3</v>
      </c>
      <c r="G72" s="315">
        <v>35</v>
      </c>
      <c r="H72" s="359">
        <v>2.5000000000000001E-3</v>
      </c>
      <c r="I72" s="360">
        <v>0.05</v>
      </c>
      <c r="J72" s="361">
        <v>0.15</v>
      </c>
      <c r="K72" s="361">
        <v>0.8</v>
      </c>
      <c r="L72" s="358">
        <v>1E-4</v>
      </c>
      <c r="M72" s="358">
        <v>2.9999999999999997E-4</v>
      </c>
      <c r="N72" s="362">
        <v>1</v>
      </c>
      <c r="O72" s="362">
        <v>3</v>
      </c>
      <c r="P72" s="363">
        <v>50</v>
      </c>
      <c r="Q72" s="478" t="s">
        <v>459</v>
      </c>
      <c r="R72" s="319">
        <v>-55</v>
      </c>
      <c r="S72" s="319">
        <v>125</v>
      </c>
      <c r="T72" s="322">
        <v>2500</v>
      </c>
      <c r="U72" s="364">
        <v>4750</v>
      </c>
      <c r="V72" s="320">
        <v>4900</v>
      </c>
      <c r="W72" s="804">
        <v>41</v>
      </c>
      <c r="X72" s="365">
        <v>36</v>
      </c>
      <c r="Y72" s="309">
        <f t="shared" si="0"/>
        <v>66</v>
      </c>
      <c r="Z72" s="309">
        <f>IF(OR($AN$18=Devices[[#This Row],[Input Type]], 0=Devices[[#This Row],[Input Type]]),Devices[[#This Row],[Row Num]], " ")</f>
        <v>66</v>
      </c>
      <c r="AA72" s="309" t="str">
        <f>IF(OR($AN$19=Devices[[#This Row],[Input Type]], 0=Devices[[#This Row],[Input Type]]),Devices[[#This Row],[Row Num]], " ")</f>
        <v xml:space="preserve"> </v>
      </c>
      <c r="AB72" s="309" t="str">
        <f>IF(OR($AN$20=Devices[[#This Row],[Input Type]], 0=Devices[[#This Row],[Input Type]]),Devices[[#This Row],[Row Num]], " ")</f>
        <v xml:space="preserve"> </v>
      </c>
      <c r="AC72" s="309" t="str">
        <f>IF(0=Devices[[#This Row],[Input Type]], Devices[[#This Row],[Row Num]], " ")</f>
        <v xml:space="preserve"> </v>
      </c>
      <c r="AD72" s="310">
        <f>IFERROR(SMALL(Devices[Row Sel D], Devices[[#This Row],[Row Num]]), " ")</f>
        <v>93</v>
      </c>
      <c r="AE72" s="310" t="str">
        <f>IFERROR(SMALL(Devices[Row Sel IntRdiv], Devices[[#This Row],[Row Num]]), " ")</f>
        <v xml:space="preserve"> </v>
      </c>
      <c r="AF72" s="310" t="str">
        <f>IFERROR(SMALL(Devices[Row Sel SE], Devices[[#This Row],[Row Num]]), " ")</f>
        <v xml:space="preserve"> </v>
      </c>
      <c r="AG72" s="310" t="str">
        <f>IFERROR(SMALL(Devices[Row Sel N], Devices[[#This Row],[Row Num]]), " ")</f>
        <v xml:space="preserve"> </v>
      </c>
      <c r="AH72" s="310">
        <f>IFERROR(INDEX(Devices[Part], Devices[[#This Row],[Sel D]], 1), "")</f>
        <v>0</v>
      </c>
      <c r="AI72" s="310" t="str">
        <f>IFERROR(INDEX(Devices[Part], Devices[[#This Row],[Sel IntRdiv]], 1), "")</f>
        <v/>
      </c>
      <c r="AJ72" s="310" t="str">
        <f>IFERROR(INDEX(Devices[Part], Devices[[#This Row],[Sel SE]], 1), "")</f>
        <v/>
      </c>
      <c r="AK72" s="310" t="str">
        <f>IFERROR(INDEX(Devices[Part], Devices[[#This Row],[Sel N]], 1), "")</f>
        <v/>
      </c>
      <c r="AM72" s="311"/>
    </row>
    <row r="73" spans="1:39" ht="15" customHeight="1">
      <c r="A73" s="312" t="s">
        <v>109</v>
      </c>
      <c r="B73" s="477" t="s">
        <v>51</v>
      </c>
      <c r="C73" s="429" t="s">
        <v>51</v>
      </c>
      <c r="D73" s="340">
        <v>4.0000000000000002E-4</v>
      </c>
      <c r="E73" s="358">
        <v>2E-3</v>
      </c>
      <c r="F73" s="315">
        <v>3</v>
      </c>
      <c r="G73" s="315">
        <v>35</v>
      </c>
      <c r="H73" s="359">
        <v>2.5000000000000001E-3</v>
      </c>
      <c r="I73" s="360">
        <v>0.05</v>
      </c>
      <c r="J73" s="361">
        <v>0.15</v>
      </c>
      <c r="K73" s="361">
        <v>0.8</v>
      </c>
      <c r="L73" s="358">
        <v>1E-4</v>
      </c>
      <c r="M73" s="358">
        <v>2.9999999999999997E-4</v>
      </c>
      <c r="N73" s="362">
        <v>1</v>
      </c>
      <c r="O73" s="362">
        <v>3</v>
      </c>
      <c r="P73" s="363">
        <v>50</v>
      </c>
      <c r="Q73" s="478" t="s">
        <v>459</v>
      </c>
      <c r="R73" s="319">
        <v>-55</v>
      </c>
      <c r="S73" s="319">
        <v>125</v>
      </c>
      <c r="T73" s="322">
        <v>2500</v>
      </c>
      <c r="U73" s="364">
        <v>4750</v>
      </c>
      <c r="V73" s="320">
        <v>4900</v>
      </c>
      <c r="W73" s="804">
        <v>41</v>
      </c>
      <c r="X73" s="365">
        <v>36</v>
      </c>
      <c r="Y73" s="309">
        <f t="shared" si="0"/>
        <v>67</v>
      </c>
      <c r="Z73" s="309">
        <f>IF(OR($AN$18=Devices[[#This Row],[Input Type]], 0=Devices[[#This Row],[Input Type]]),Devices[[#This Row],[Row Num]], " ")</f>
        <v>67</v>
      </c>
      <c r="AA73" s="309" t="str">
        <f>IF(OR($AN$19=Devices[[#This Row],[Input Type]], 0=Devices[[#This Row],[Input Type]]),Devices[[#This Row],[Row Num]], " ")</f>
        <v xml:space="preserve"> </v>
      </c>
      <c r="AB73" s="309" t="str">
        <f>IF(OR($AN$20=Devices[[#This Row],[Input Type]], 0=Devices[[#This Row],[Input Type]]),Devices[[#This Row],[Row Num]], " ")</f>
        <v xml:space="preserve"> </v>
      </c>
      <c r="AC73" s="309" t="str">
        <f>IF(0=Devices[[#This Row],[Input Type]], Devices[[#This Row],[Row Num]], " ")</f>
        <v xml:space="preserve"> </v>
      </c>
      <c r="AD73" s="310">
        <f>IFERROR(SMALL(Devices[Row Sel D], Devices[[#This Row],[Row Num]]), " ")</f>
        <v>94</v>
      </c>
      <c r="AE73" s="310" t="str">
        <f>IFERROR(SMALL(Devices[Row Sel IntRdiv], Devices[[#This Row],[Row Num]]), " ")</f>
        <v xml:space="preserve"> </v>
      </c>
      <c r="AF73" s="310" t="str">
        <f>IFERROR(SMALL(Devices[Row Sel SE], Devices[[#This Row],[Row Num]]), " ")</f>
        <v xml:space="preserve"> </v>
      </c>
      <c r="AG73" s="310" t="str">
        <f>IFERROR(SMALL(Devices[Row Sel N], Devices[[#This Row],[Row Num]]), " ")</f>
        <v xml:space="preserve"> </v>
      </c>
      <c r="AH73" s="310">
        <f>IFERROR(INDEX(Devices[Part], Devices[[#This Row],[Sel D]], 1), "")</f>
        <v>0</v>
      </c>
      <c r="AI73" s="310" t="str">
        <f>IFERROR(INDEX(Devices[Part], Devices[[#This Row],[Sel IntRdiv]], 1), "")</f>
        <v/>
      </c>
      <c r="AJ73" s="310" t="str">
        <f>IFERROR(INDEX(Devices[Part], Devices[[#This Row],[Sel SE]], 1), "")</f>
        <v/>
      </c>
      <c r="AK73" s="310" t="str">
        <f>IFERROR(INDEX(Devices[Part], Devices[[#This Row],[Sel N]], 1), "")</f>
        <v/>
      </c>
    </row>
    <row r="74" spans="1:39" ht="15" customHeight="1">
      <c r="A74" s="366" t="s">
        <v>44</v>
      </c>
      <c r="B74" s="477" t="s">
        <v>52</v>
      </c>
      <c r="C74" s="429" t="s">
        <v>51</v>
      </c>
      <c r="D74" s="367">
        <v>4.0000000000000001E-3</v>
      </c>
      <c r="E74" s="367">
        <v>0.01</v>
      </c>
      <c r="F74" s="368">
        <v>30</v>
      </c>
      <c r="G74" s="368">
        <v>90</v>
      </c>
      <c r="H74" s="369">
        <v>0.4</v>
      </c>
      <c r="I74" s="370">
        <v>9.9</v>
      </c>
      <c r="J74" s="371">
        <v>20</v>
      </c>
      <c r="K74" s="371">
        <v>60</v>
      </c>
      <c r="L74" s="367">
        <v>1E-4</v>
      </c>
      <c r="M74" s="367">
        <v>4.0000000000000002E-4</v>
      </c>
      <c r="N74" s="368">
        <v>1</v>
      </c>
      <c r="O74" s="368">
        <v>3</v>
      </c>
      <c r="P74" s="372">
        <v>2000</v>
      </c>
      <c r="Q74" s="478" t="s">
        <v>460</v>
      </c>
      <c r="R74" s="319">
        <v>-40</v>
      </c>
      <c r="S74" s="319">
        <v>125</v>
      </c>
      <c r="T74" s="373"/>
      <c r="U74" s="374">
        <v>1000000000</v>
      </c>
      <c r="V74" s="320">
        <v>1000000000</v>
      </c>
      <c r="W74" s="804">
        <v>1</v>
      </c>
      <c r="X74" s="328">
        <v>3.5000000000000001E-3</v>
      </c>
      <c r="Y74" s="329">
        <f>ROW()-6</f>
        <v>68</v>
      </c>
      <c r="Z74" s="329" t="str">
        <f>IF(OR($AN$18=Devices[[#This Row],[Input Type]], 0=Devices[[#This Row],[Input Type]]),Devices[[#This Row],[Row Num]], " ")</f>
        <v xml:space="preserve"> </v>
      </c>
      <c r="AA74" s="329" t="str">
        <f>IF(OR($AN$19=Devices[[#This Row],[Input Type]], 0=Devices[[#This Row],[Input Type]]),Devices[[#This Row],[Row Num]], " ")</f>
        <v xml:space="preserve"> </v>
      </c>
      <c r="AB74" s="329">
        <f>IF(OR($AN$20=Devices[[#This Row],[Input Type]], 0=Devices[[#This Row],[Input Type]]),Devices[[#This Row],[Row Num]], " ")</f>
        <v>68</v>
      </c>
      <c r="AC74" s="329" t="str">
        <f>IF(0=Devices[[#This Row],[Input Type]], Devices[[#This Row],[Row Num]], " ")</f>
        <v xml:space="preserve"> </v>
      </c>
      <c r="AD74" s="329">
        <f>IFERROR(SMALL(Devices[Row Sel D], Devices[[#This Row],[Row Num]]), " ")</f>
        <v>95</v>
      </c>
      <c r="AE74" s="329" t="str">
        <f>IFERROR(SMALL(Devices[Row Sel IntRdiv], Devices[[#This Row],[Row Num]]), " ")</f>
        <v xml:space="preserve"> </v>
      </c>
      <c r="AF74" s="329" t="str">
        <f>IFERROR(SMALL(Devices[Row Sel SE], Devices[[#This Row],[Row Num]]), " ")</f>
        <v xml:space="preserve"> </v>
      </c>
      <c r="AG74" s="329" t="str">
        <f>IFERROR(SMALL(Devices[Row Sel N], Devices[[#This Row],[Row Num]]), " ")</f>
        <v xml:space="preserve"> </v>
      </c>
      <c r="AH74" s="329">
        <f>IFERROR(INDEX(Devices[Part], Devices[[#This Row],[Sel D]], 1), "")</f>
        <v>0</v>
      </c>
      <c r="AI74" s="329" t="str">
        <f>IFERROR(INDEX(Devices[Part], Devices[[#This Row],[Sel IntRdiv]], 1), "")</f>
        <v/>
      </c>
      <c r="AJ74" s="329" t="str">
        <f>IFERROR(INDEX(Devices[Part], Devices[[#This Row],[Sel SE]], 1), "")</f>
        <v/>
      </c>
      <c r="AK74" s="329" t="str">
        <f>IFERROR(INDEX(Devices[Part], Devices[[#This Row],[Sel N]], 1), "")</f>
        <v/>
      </c>
    </row>
    <row r="75" spans="1:39" ht="15" customHeight="1">
      <c r="A75" s="375" t="s">
        <v>74</v>
      </c>
      <c r="B75" s="477" t="s">
        <v>52</v>
      </c>
      <c r="C75" s="429" t="s">
        <v>51</v>
      </c>
      <c r="D75" s="340">
        <v>5.0000000000000001E-4</v>
      </c>
      <c r="E75" s="351">
        <v>2E-3</v>
      </c>
      <c r="F75" s="352">
        <v>5</v>
      </c>
      <c r="G75" s="352">
        <v>40</v>
      </c>
      <c r="H75" s="376">
        <v>0.4</v>
      </c>
      <c r="I75" s="353">
        <v>1.5</v>
      </c>
      <c r="J75" s="354">
        <v>3</v>
      </c>
      <c r="K75" s="354">
        <v>10</v>
      </c>
      <c r="L75" s="351">
        <v>1E-4</v>
      </c>
      <c r="M75" s="351">
        <v>4.0000000000000002E-4</v>
      </c>
      <c r="N75" s="352">
        <v>1</v>
      </c>
      <c r="O75" s="352">
        <v>3</v>
      </c>
      <c r="P75" s="355">
        <v>2000</v>
      </c>
      <c r="Q75" s="478" t="s">
        <v>460</v>
      </c>
      <c r="R75" s="319">
        <v>-55</v>
      </c>
      <c r="S75" s="319">
        <v>125</v>
      </c>
      <c r="T75" s="321"/>
      <c r="U75" s="322">
        <v>1000000000</v>
      </c>
      <c r="V75" s="320">
        <v>1000000000</v>
      </c>
      <c r="W75" s="804">
        <v>1</v>
      </c>
      <c r="X75" s="377">
        <v>3.5000000000000001E-3</v>
      </c>
      <c r="Y75" s="329">
        <f>ROW()-6</f>
        <v>69</v>
      </c>
      <c r="Z75" s="329" t="str">
        <f>IF(OR($AN$18=Devices[[#This Row],[Input Type]], 0=Devices[[#This Row],[Input Type]]),Devices[[#This Row],[Row Num]], " ")</f>
        <v xml:space="preserve"> </v>
      </c>
      <c r="AA75" s="329" t="str">
        <f>IF(OR($AN$19=Devices[[#This Row],[Input Type]], 0=Devices[[#This Row],[Input Type]]),Devices[[#This Row],[Row Num]], " ")</f>
        <v xml:space="preserve"> </v>
      </c>
      <c r="AB75" s="329">
        <f>IF(OR($AN$20=Devices[[#This Row],[Input Type]], 0=Devices[[#This Row],[Input Type]]),Devices[[#This Row],[Row Num]], " ")</f>
        <v>69</v>
      </c>
      <c r="AC75" s="329" t="str">
        <f>IF(0=Devices[[#This Row],[Input Type]], Devices[[#This Row],[Row Num]], " ")</f>
        <v xml:space="preserve"> </v>
      </c>
      <c r="AD75" s="329">
        <f>IFERROR(SMALL(Devices[Row Sel D], Devices[[#This Row],[Row Num]]), " ")</f>
        <v>96</v>
      </c>
      <c r="AE75" s="329" t="str">
        <f>IFERROR(SMALL(Devices[Row Sel IntRdiv], Devices[[#This Row],[Row Num]]), " ")</f>
        <v xml:space="preserve"> </v>
      </c>
      <c r="AF75" s="329" t="str">
        <f>IFERROR(SMALL(Devices[Row Sel SE], Devices[[#This Row],[Row Num]]), " ")</f>
        <v xml:space="preserve"> </v>
      </c>
      <c r="AG75" s="329" t="str">
        <f>IFERROR(SMALL(Devices[Row Sel N], Devices[[#This Row],[Row Num]]), " ")</f>
        <v xml:space="preserve"> </v>
      </c>
      <c r="AH75" s="329">
        <f>IFERROR(INDEX(Devices[Part], Devices[[#This Row],[Sel D]], 1), "")</f>
        <v>0</v>
      </c>
      <c r="AI75" s="329" t="str">
        <f>IFERROR(INDEX(Devices[Part], Devices[[#This Row],[Sel IntRdiv]], 1), "")</f>
        <v/>
      </c>
      <c r="AJ75" s="329" t="str">
        <f>IFERROR(INDEX(Devices[Part], Devices[[#This Row],[Sel SE]], 1), "")</f>
        <v/>
      </c>
      <c r="AK75" s="329" t="str">
        <f>IFERROR(INDEX(Devices[Part], Devices[[#This Row],[Sel N]], 1), "")</f>
        <v/>
      </c>
      <c r="AM75" s="311"/>
    </row>
    <row r="76" spans="1:39" ht="15" customHeight="1">
      <c r="A76" s="366" t="s">
        <v>45</v>
      </c>
      <c r="B76" s="477" t="s">
        <v>52</v>
      </c>
      <c r="C76" s="429" t="s">
        <v>51</v>
      </c>
      <c r="D76" s="378">
        <v>4.0000000000000001E-3</v>
      </c>
      <c r="E76" s="367">
        <v>0.01</v>
      </c>
      <c r="F76" s="368">
        <v>30</v>
      </c>
      <c r="G76" s="368">
        <v>90</v>
      </c>
      <c r="H76" s="369">
        <v>0.4</v>
      </c>
      <c r="I76" s="370">
        <v>9.9</v>
      </c>
      <c r="J76" s="371">
        <v>20</v>
      </c>
      <c r="K76" s="371">
        <v>60</v>
      </c>
      <c r="L76" s="367">
        <v>1E-4</v>
      </c>
      <c r="M76" s="367">
        <v>4.0000000000000002E-4</v>
      </c>
      <c r="N76" s="368">
        <v>1</v>
      </c>
      <c r="O76" s="368">
        <v>3</v>
      </c>
      <c r="P76" s="372">
        <v>2000</v>
      </c>
      <c r="Q76" s="478" t="s">
        <v>460</v>
      </c>
      <c r="R76" s="350">
        <v>-40</v>
      </c>
      <c r="S76" s="350">
        <v>125</v>
      </c>
      <c r="T76" s="373"/>
      <c r="U76" s="374">
        <v>1000000000</v>
      </c>
      <c r="V76" s="320">
        <v>1000000000</v>
      </c>
      <c r="W76" s="804">
        <v>1</v>
      </c>
      <c r="X76" s="328">
        <v>3.5000000000000001E-3</v>
      </c>
      <c r="Y76" s="329">
        <f>ROW()-6</f>
        <v>70</v>
      </c>
      <c r="Z76" s="329" t="str">
        <f>IF(OR($AN$18=Devices[[#This Row],[Input Type]], 0=Devices[[#This Row],[Input Type]]),Devices[[#This Row],[Row Num]], " ")</f>
        <v xml:space="preserve"> </v>
      </c>
      <c r="AA76" s="329" t="str">
        <f>IF(OR($AN$19=Devices[[#This Row],[Input Type]], 0=Devices[[#This Row],[Input Type]]),Devices[[#This Row],[Row Num]], " ")</f>
        <v xml:space="preserve"> </v>
      </c>
      <c r="AB76" s="329">
        <f>IF(OR($AN$20=Devices[[#This Row],[Input Type]], 0=Devices[[#This Row],[Input Type]]),Devices[[#This Row],[Row Num]], " ")</f>
        <v>70</v>
      </c>
      <c r="AC76" s="329" t="str">
        <f>IF(0=Devices[[#This Row],[Input Type]], Devices[[#This Row],[Row Num]], " ")</f>
        <v xml:space="preserve"> </v>
      </c>
      <c r="AD76" s="329">
        <f>IFERROR(SMALL(Devices[Row Sel D], Devices[[#This Row],[Row Num]]), " ")</f>
        <v>97</v>
      </c>
      <c r="AE76" s="329" t="str">
        <f>IFERROR(SMALL(Devices[Row Sel IntRdiv], Devices[[#This Row],[Row Num]]), " ")</f>
        <v xml:space="preserve"> </v>
      </c>
      <c r="AF76" s="329" t="str">
        <f>IFERROR(SMALL(Devices[Row Sel SE], Devices[[#This Row],[Row Num]]), " ")</f>
        <v xml:space="preserve"> </v>
      </c>
      <c r="AG76" s="329" t="str">
        <f>IFERROR(SMALL(Devices[Row Sel N], Devices[[#This Row],[Row Num]]), " ")</f>
        <v xml:space="preserve"> </v>
      </c>
      <c r="AH76" s="329">
        <f>IFERROR(INDEX(Devices[Part], Devices[[#This Row],[Sel D]], 1), "")</f>
        <v>0</v>
      </c>
      <c r="AI76" s="329" t="str">
        <f>IFERROR(INDEX(Devices[Part], Devices[[#This Row],[Sel IntRdiv]], 1), "")</f>
        <v/>
      </c>
      <c r="AJ76" s="329" t="str">
        <f>IFERROR(INDEX(Devices[Part], Devices[[#This Row],[Sel SE]], 1), "")</f>
        <v/>
      </c>
      <c r="AK76" s="329" t="str">
        <f>IFERROR(INDEX(Devices[Part], Devices[[#This Row],[Sel N]], 1), "")</f>
        <v/>
      </c>
    </row>
    <row r="77" spans="1:39" ht="15" customHeight="1">
      <c r="A77" s="375" t="s">
        <v>75</v>
      </c>
      <c r="B77" s="477" t="s">
        <v>52</v>
      </c>
      <c r="C77" s="429" t="s">
        <v>51</v>
      </c>
      <c r="D77" s="340">
        <v>5.0000000000000001E-4</v>
      </c>
      <c r="E77" s="351">
        <v>2E-3</v>
      </c>
      <c r="F77" s="352">
        <v>5</v>
      </c>
      <c r="G77" s="352">
        <v>40</v>
      </c>
      <c r="H77" s="376">
        <v>0.4</v>
      </c>
      <c r="I77" s="353">
        <v>1.5</v>
      </c>
      <c r="J77" s="354">
        <v>3</v>
      </c>
      <c r="K77" s="354">
        <v>10</v>
      </c>
      <c r="L77" s="351">
        <v>1E-4</v>
      </c>
      <c r="M77" s="351">
        <v>4.0000000000000002E-4</v>
      </c>
      <c r="N77" s="352">
        <v>1</v>
      </c>
      <c r="O77" s="352">
        <v>3</v>
      </c>
      <c r="P77" s="355">
        <v>2000</v>
      </c>
      <c r="Q77" s="478" t="s">
        <v>461</v>
      </c>
      <c r="R77" s="319">
        <v>-40</v>
      </c>
      <c r="S77" s="319">
        <v>125</v>
      </c>
      <c r="T77" s="321"/>
      <c r="U77" s="374">
        <v>1000000000</v>
      </c>
      <c r="V77" s="320">
        <v>1000000000</v>
      </c>
      <c r="W77" s="804">
        <v>1</v>
      </c>
      <c r="X77" s="328">
        <v>3.5000000000000001E-3</v>
      </c>
      <c r="Y77" s="329">
        <f>ROW()-6</f>
        <v>71</v>
      </c>
      <c r="Z77" s="329" t="str">
        <f>IF(OR($AN$18=Devices[[#This Row],[Input Type]], 0=Devices[[#This Row],[Input Type]]),Devices[[#This Row],[Row Num]], " ")</f>
        <v xml:space="preserve"> </v>
      </c>
      <c r="AA77" s="329" t="str">
        <f>IF(OR($AN$19=Devices[[#This Row],[Input Type]], 0=Devices[[#This Row],[Input Type]]),Devices[[#This Row],[Row Num]], " ")</f>
        <v xml:space="preserve"> </v>
      </c>
      <c r="AB77" s="329">
        <f>IF(OR($AN$20=Devices[[#This Row],[Input Type]], 0=Devices[[#This Row],[Input Type]]),Devices[[#This Row],[Row Num]], " ")</f>
        <v>71</v>
      </c>
      <c r="AC77" s="329" t="str">
        <f>IF(0=Devices[[#This Row],[Input Type]], Devices[[#This Row],[Row Num]], " ")</f>
        <v xml:space="preserve"> </v>
      </c>
      <c r="AD77" s="329">
        <f>IFERROR(SMALL(Devices[Row Sel D], Devices[[#This Row],[Row Num]]), " ")</f>
        <v>98</v>
      </c>
      <c r="AE77" s="329" t="str">
        <f>IFERROR(SMALL(Devices[Row Sel IntRdiv], Devices[[#This Row],[Row Num]]), " ")</f>
        <v xml:space="preserve"> </v>
      </c>
      <c r="AF77" s="329" t="str">
        <f>IFERROR(SMALL(Devices[Row Sel SE], Devices[[#This Row],[Row Num]]), " ")</f>
        <v xml:space="preserve"> </v>
      </c>
      <c r="AG77" s="329" t="str">
        <f>IFERROR(SMALL(Devices[Row Sel N], Devices[[#This Row],[Row Num]]), " ")</f>
        <v xml:space="preserve"> </v>
      </c>
      <c r="AH77" s="329">
        <f>IFERROR(INDEX(Devices[Part], Devices[[#This Row],[Sel D]], 1), "")</f>
        <v>0</v>
      </c>
      <c r="AI77" s="329" t="str">
        <f>IFERROR(INDEX(Devices[Part], Devices[[#This Row],[Sel IntRdiv]], 1), "")</f>
        <v/>
      </c>
      <c r="AJ77" s="329" t="str">
        <f>IFERROR(INDEX(Devices[Part], Devices[[#This Row],[Sel SE]], 1), "")</f>
        <v/>
      </c>
      <c r="AK77" s="329" t="str">
        <f>IFERROR(INDEX(Devices[Part], Devices[[#This Row],[Sel N]], 1), "")</f>
        <v/>
      </c>
    </row>
    <row r="78" spans="1:39" ht="15" customHeight="1">
      <c r="A78" s="349" t="s">
        <v>218</v>
      </c>
      <c r="B78" s="477" t="s">
        <v>51</v>
      </c>
      <c r="C78" s="429" t="s">
        <v>51</v>
      </c>
      <c r="D78" s="314">
        <v>5.0000000000000001E-4</v>
      </c>
      <c r="E78" s="314">
        <v>2E-3</v>
      </c>
      <c r="F78" s="315">
        <v>10</v>
      </c>
      <c r="G78" s="315">
        <v>35</v>
      </c>
      <c r="H78" s="316">
        <v>0.4</v>
      </c>
      <c r="I78" s="316">
        <v>1.5</v>
      </c>
      <c r="J78" s="317">
        <v>3</v>
      </c>
      <c r="K78" s="317">
        <v>10</v>
      </c>
      <c r="L78" s="314">
        <v>3.0000000000000001E-5</v>
      </c>
      <c r="M78" s="314">
        <v>1E-4</v>
      </c>
      <c r="N78" s="315">
        <v>1</v>
      </c>
      <c r="O78" s="315">
        <v>3</v>
      </c>
      <c r="P78" s="318">
        <v>5000</v>
      </c>
      <c r="Q78" s="478" t="s">
        <v>460</v>
      </c>
      <c r="R78" s="350">
        <v>-40</v>
      </c>
      <c r="S78" s="350">
        <v>125</v>
      </c>
      <c r="T78" s="320"/>
      <c r="U78" s="320">
        <v>1250000</v>
      </c>
      <c r="V78" s="320">
        <v>2500000</v>
      </c>
      <c r="W78" s="804">
        <v>0.4</v>
      </c>
      <c r="X78" s="379">
        <v>0</v>
      </c>
      <c r="Y78" s="309">
        <f t="shared" si="0"/>
        <v>72</v>
      </c>
      <c r="Z78" s="309">
        <f>IF(OR($AN$18=Devices[[#This Row],[Input Type]], 0=Devices[[#This Row],[Input Type]]),Devices[[#This Row],[Row Num]], " ")</f>
        <v>72</v>
      </c>
      <c r="AA78" s="309" t="str">
        <f>IF(OR($AN$19=Devices[[#This Row],[Input Type]], 0=Devices[[#This Row],[Input Type]]),Devices[[#This Row],[Row Num]], " ")</f>
        <v xml:space="preserve"> </v>
      </c>
      <c r="AB78" s="309" t="str">
        <f>IF(OR($AN$20=Devices[[#This Row],[Input Type]], 0=Devices[[#This Row],[Input Type]]),Devices[[#This Row],[Row Num]], " ")</f>
        <v xml:space="preserve"> </v>
      </c>
      <c r="AC78" s="309" t="str">
        <f>IF(0=Devices[[#This Row],[Input Type]], Devices[[#This Row],[Row Num]], " ")</f>
        <v xml:space="preserve"> </v>
      </c>
      <c r="AD78" s="310">
        <f>IFERROR(SMALL(Devices[Row Sel D], Devices[[#This Row],[Row Num]]), " ")</f>
        <v>99</v>
      </c>
      <c r="AE78" s="310" t="str">
        <f>IFERROR(SMALL(Devices[Row Sel IntRdiv], Devices[[#This Row],[Row Num]]), " ")</f>
        <v xml:space="preserve"> </v>
      </c>
      <c r="AF78" s="310" t="str">
        <f>IFERROR(SMALL(Devices[Row Sel SE], Devices[[#This Row],[Row Num]]), " ")</f>
        <v xml:space="preserve"> </v>
      </c>
      <c r="AG78" s="325" t="str">
        <f>IFERROR(SMALL(Devices[Row Sel N], Devices[[#This Row],[Row Num]]), " ")</f>
        <v xml:space="preserve"> </v>
      </c>
      <c r="AH78" s="310">
        <f>IFERROR(INDEX(Devices[Part], Devices[[#This Row],[Sel D]], 1), "")</f>
        <v>0</v>
      </c>
      <c r="AI78" s="310" t="str">
        <f>IFERROR(INDEX(Devices[Part], Devices[[#This Row],[Sel IntRdiv]], 1), "")</f>
        <v/>
      </c>
      <c r="AJ78" s="310" t="str">
        <f>IFERROR(INDEX(Devices[Part], Devices[[#This Row],[Sel SE]], 1), "")</f>
        <v/>
      </c>
      <c r="AK78" s="310" t="str">
        <f>IFERROR(INDEX(Devices[Part], Devices[[#This Row],[Sel N]], 1), "")</f>
        <v/>
      </c>
      <c r="AM78" s="311"/>
    </row>
    <row r="79" spans="1:39" ht="15" customHeight="1">
      <c r="A79" s="312" t="s">
        <v>219</v>
      </c>
      <c r="B79" s="477" t="s">
        <v>52</v>
      </c>
      <c r="C79" s="429" t="s">
        <v>51</v>
      </c>
      <c r="D79" s="314">
        <v>5.0000000000000001E-4</v>
      </c>
      <c r="E79" s="314">
        <v>2E-3</v>
      </c>
      <c r="F79" s="315">
        <v>10</v>
      </c>
      <c r="G79" s="315">
        <v>35</v>
      </c>
      <c r="H79" s="316">
        <v>0.4</v>
      </c>
      <c r="I79" s="316">
        <v>1.5</v>
      </c>
      <c r="J79" s="317">
        <v>3</v>
      </c>
      <c r="K79" s="317">
        <v>10</v>
      </c>
      <c r="L79" s="314">
        <v>3.0000000000000001E-5</v>
      </c>
      <c r="M79" s="314">
        <v>1E-4</v>
      </c>
      <c r="N79" s="315">
        <v>1</v>
      </c>
      <c r="O79" s="315">
        <v>3</v>
      </c>
      <c r="P79" s="318">
        <v>5000</v>
      </c>
      <c r="Q79" s="478" t="s">
        <v>460</v>
      </c>
      <c r="R79" s="319">
        <v>-40</v>
      </c>
      <c r="S79" s="319">
        <v>125</v>
      </c>
      <c r="T79" s="320"/>
      <c r="U79" s="320">
        <v>1250000</v>
      </c>
      <c r="V79" s="320">
        <v>2500000</v>
      </c>
      <c r="W79" s="804">
        <v>0.4</v>
      </c>
      <c r="X79" s="379">
        <v>0</v>
      </c>
      <c r="Y79" s="329">
        <f>ROW()-6</f>
        <v>73</v>
      </c>
      <c r="Z79" s="329" t="str">
        <f>IF(OR($AN$18=Devices[[#This Row],[Input Type]], 0=Devices[[#This Row],[Input Type]]),Devices[[#This Row],[Row Num]], " ")</f>
        <v xml:space="preserve"> </v>
      </c>
      <c r="AA79" s="329" t="str">
        <f>IF(OR($AN$19=Devices[[#This Row],[Input Type]], 0=Devices[[#This Row],[Input Type]]),Devices[[#This Row],[Row Num]], " ")</f>
        <v xml:space="preserve"> </v>
      </c>
      <c r="AB79" s="329">
        <f>IF(OR($AN$20=Devices[[#This Row],[Input Type]], 0=Devices[[#This Row],[Input Type]]),Devices[[#This Row],[Row Num]], " ")</f>
        <v>73</v>
      </c>
      <c r="AC79" s="329" t="str">
        <f>IF(0=Devices[[#This Row],[Input Type]], Devices[[#This Row],[Row Num]], " ")</f>
        <v xml:space="preserve"> </v>
      </c>
      <c r="AD79" s="329">
        <f>IFERROR(SMALL(Devices[Row Sel D], Devices[[#This Row],[Row Num]]), " ")</f>
        <v>100</v>
      </c>
      <c r="AE79" s="329" t="str">
        <f>IFERROR(SMALL(Devices[Row Sel IntRdiv], Devices[[#This Row],[Row Num]]), " ")</f>
        <v xml:space="preserve"> </v>
      </c>
      <c r="AF79" s="329" t="str">
        <f>IFERROR(SMALL(Devices[Row Sel SE], Devices[[#This Row],[Row Num]]), " ")</f>
        <v xml:space="preserve"> </v>
      </c>
      <c r="AG79" s="329" t="str">
        <f>IFERROR(SMALL(Devices[Row Sel N], Devices[[#This Row],[Row Num]]), " ")</f>
        <v xml:space="preserve"> </v>
      </c>
      <c r="AH79" s="329">
        <f>IFERROR(INDEX(Devices[Part], Devices[[#This Row],[Sel D]], 1), "")</f>
        <v>0</v>
      </c>
      <c r="AI79" s="329" t="str">
        <f>IFERROR(INDEX(Devices[Part], Devices[[#This Row],[Sel IntRdiv]], 1), "")</f>
        <v/>
      </c>
      <c r="AJ79" s="329" t="str">
        <f>IFERROR(INDEX(Devices[Part], Devices[[#This Row],[Sel SE]], 1), "")</f>
        <v/>
      </c>
      <c r="AK79" s="329" t="str">
        <f>IFERROR(INDEX(Devices[Part], Devices[[#This Row],[Sel N]], 1), "")</f>
        <v/>
      </c>
    </row>
    <row r="80" spans="1:39" ht="15" customHeight="1">
      <c r="A80" s="312" t="s">
        <v>217</v>
      </c>
      <c r="B80" s="477" t="s">
        <v>51</v>
      </c>
      <c r="C80" s="429" t="s">
        <v>51</v>
      </c>
      <c r="D80" s="340">
        <v>4.0000000000000002E-4</v>
      </c>
      <c r="E80" s="340">
        <v>3.0000000000000001E-3</v>
      </c>
      <c r="F80" s="341">
        <v>5</v>
      </c>
      <c r="G80" s="341">
        <v>30</v>
      </c>
      <c r="H80" s="342">
        <v>0.01</v>
      </c>
      <c r="I80" s="342">
        <v>0.2</v>
      </c>
      <c r="J80" s="343">
        <v>0.1</v>
      </c>
      <c r="K80" s="343">
        <v>0.9</v>
      </c>
      <c r="L80" s="340">
        <v>1E-4</v>
      </c>
      <c r="M80" s="340">
        <v>2.9999999999999997E-4</v>
      </c>
      <c r="N80" s="341">
        <v>0.4</v>
      </c>
      <c r="O80" s="341">
        <v>1.2</v>
      </c>
      <c r="P80" s="344">
        <v>250</v>
      </c>
      <c r="Q80" s="478" t="s">
        <v>459</v>
      </c>
      <c r="R80" s="350">
        <v>-40</v>
      </c>
      <c r="S80" s="350">
        <v>125</v>
      </c>
      <c r="T80" s="321">
        <v>12500</v>
      </c>
      <c r="U80" s="321">
        <v>19000</v>
      </c>
      <c r="V80" s="320">
        <v>22000</v>
      </c>
      <c r="W80" s="804">
        <v>8.1999999999999993</v>
      </c>
      <c r="X80" s="324">
        <v>30</v>
      </c>
      <c r="Y80" s="329">
        <f>ROW()-6</f>
        <v>74</v>
      </c>
      <c r="Z80" s="329">
        <f>IF(OR($AN$18=Devices[[#This Row],[Input Type]], 0=Devices[[#This Row],[Input Type]]),Devices[[#This Row],[Row Num]], " ")</f>
        <v>74</v>
      </c>
      <c r="AA80" s="329" t="str">
        <f>IF(OR($AN$19=Devices[[#This Row],[Input Type]], 0=Devices[[#This Row],[Input Type]]),Devices[[#This Row],[Row Num]], " ")</f>
        <v xml:space="preserve"> </v>
      </c>
      <c r="AB80" s="329" t="str">
        <f>IF(OR($AN$20=Devices[[#This Row],[Input Type]], 0=Devices[[#This Row],[Input Type]]),Devices[[#This Row],[Row Num]], " ")</f>
        <v xml:space="preserve"> </v>
      </c>
      <c r="AC80" s="329" t="str">
        <f>IF(0=Devices[[#This Row],[Input Type]], Devices[[#This Row],[Row Num]], " ")</f>
        <v xml:space="preserve"> </v>
      </c>
      <c r="AD80" s="329">
        <f>IFERROR(SMALL(Devices[Row Sel D], Devices[[#This Row],[Row Num]]), " ")</f>
        <v>101</v>
      </c>
      <c r="AE80" s="329" t="str">
        <f>IFERROR(SMALL(Devices[Row Sel IntRdiv], Devices[[#This Row],[Row Num]]), " ")</f>
        <v xml:space="preserve"> </v>
      </c>
      <c r="AF80" s="329" t="str">
        <f>IFERROR(SMALL(Devices[Row Sel SE], Devices[[#This Row],[Row Num]]), " ")</f>
        <v xml:space="preserve"> </v>
      </c>
      <c r="AG80" s="329" t="str">
        <f>IFERROR(SMALL(Devices[Row Sel N], Devices[[#This Row],[Row Num]]), " ")</f>
        <v xml:space="preserve"> </v>
      </c>
      <c r="AH80" s="329">
        <f>IFERROR(INDEX(Devices[Part], Devices[[#This Row],[Sel D]], 1), "")</f>
        <v>0</v>
      </c>
      <c r="AI80" s="329" t="str">
        <f>IFERROR(INDEX(Devices[Part], Devices[[#This Row],[Sel IntRdiv]], 1), "")</f>
        <v/>
      </c>
      <c r="AJ80" s="329" t="str">
        <f>IFERROR(INDEX(Devices[Part], Devices[[#This Row],[Sel SE]], 1), "")</f>
        <v/>
      </c>
      <c r="AK80" s="329" t="str">
        <f>IFERROR(INDEX(Devices[Part], Devices[[#This Row],[Sel N]], 1), "")</f>
        <v/>
      </c>
    </row>
    <row r="81" spans="1:39" ht="15" customHeight="1">
      <c r="A81" s="312" t="s">
        <v>216</v>
      </c>
      <c r="B81" s="477" t="s">
        <v>52</v>
      </c>
      <c r="C81" s="429" t="s">
        <v>51</v>
      </c>
      <c r="D81" s="314">
        <v>5.0000000000000001E-4</v>
      </c>
      <c r="E81" s="314">
        <v>2E-3</v>
      </c>
      <c r="F81" s="315">
        <v>5</v>
      </c>
      <c r="G81" s="315">
        <v>40</v>
      </c>
      <c r="H81" s="316">
        <v>0.4</v>
      </c>
      <c r="I81" s="316">
        <v>1.5</v>
      </c>
      <c r="J81" s="317">
        <v>3</v>
      </c>
      <c r="K81" s="317">
        <v>10</v>
      </c>
      <c r="L81" s="314">
        <v>1E-4</v>
      </c>
      <c r="M81" s="314">
        <v>4.0000000000000002E-4</v>
      </c>
      <c r="N81" s="315">
        <v>1</v>
      </c>
      <c r="O81" s="315">
        <v>3</v>
      </c>
      <c r="P81" s="318">
        <v>2000</v>
      </c>
      <c r="Q81" s="478" t="s">
        <v>460</v>
      </c>
      <c r="R81" s="350">
        <v>-40</v>
      </c>
      <c r="S81" s="350">
        <v>125</v>
      </c>
      <c r="T81" s="320"/>
      <c r="U81" s="374">
        <v>1000000000</v>
      </c>
      <c r="V81" s="320">
        <v>1000000000</v>
      </c>
      <c r="W81" s="804">
        <v>1</v>
      </c>
      <c r="X81" s="328">
        <v>3.5000000000000001E-3</v>
      </c>
      <c r="Y81" s="329">
        <f>ROW()-6</f>
        <v>75</v>
      </c>
      <c r="Z81" s="329" t="str">
        <f>IF(OR($AN$18=Devices[[#This Row],[Input Type]], 0=Devices[[#This Row],[Input Type]]),Devices[[#This Row],[Row Num]], " ")</f>
        <v xml:space="preserve"> </v>
      </c>
      <c r="AA81" s="329" t="str">
        <f>IF(OR($AN$19=Devices[[#This Row],[Input Type]], 0=Devices[[#This Row],[Input Type]]),Devices[[#This Row],[Row Num]], " ")</f>
        <v xml:space="preserve"> </v>
      </c>
      <c r="AB81" s="329">
        <f>IF(OR($AN$20=Devices[[#This Row],[Input Type]], 0=Devices[[#This Row],[Input Type]]),Devices[[#This Row],[Row Num]], " ")</f>
        <v>75</v>
      </c>
      <c r="AC81" s="329" t="str">
        <f>IF(0=Devices[[#This Row],[Input Type]], Devices[[#This Row],[Row Num]], " ")</f>
        <v xml:space="preserve"> </v>
      </c>
      <c r="AD81" s="329">
        <f>IFERROR(SMALL(Devices[Row Sel D], Devices[[#This Row],[Row Num]]), " ")</f>
        <v>102</v>
      </c>
      <c r="AE81" s="329" t="str">
        <f>IFERROR(SMALL(Devices[Row Sel IntRdiv], Devices[[#This Row],[Row Num]]), " ")</f>
        <v xml:space="preserve"> </v>
      </c>
      <c r="AF81" s="329" t="str">
        <f>IFERROR(SMALL(Devices[Row Sel SE], Devices[[#This Row],[Row Num]]), " ")</f>
        <v xml:space="preserve"> </v>
      </c>
      <c r="AG81" s="329" t="str">
        <f>IFERROR(SMALL(Devices[Row Sel N], Devices[[#This Row],[Row Num]]), " ")</f>
        <v xml:space="preserve"> </v>
      </c>
      <c r="AH81" s="329">
        <f>IFERROR(INDEX(Devices[Part], Devices[[#This Row],[Sel D]], 1), "")</f>
        <v>0</v>
      </c>
      <c r="AI81" s="329" t="str">
        <f>IFERROR(INDEX(Devices[Part], Devices[[#This Row],[Sel IntRdiv]], 1), "")</f>
        <v/>
      </c>
      <c r="AJ81" s="329" t="str">
        <f>IFERROR(INDEX(Devices[Part], Devices[[#This Row],[Sel SE]], 1), "")</f>
        <v/>
      </c>
      <c r="AK81" s="329" t="str">
        <f>IFERROR(INDEX(Devices[Part], Devices[[#This Row],[Sel N]], 1), "")</f>
        <v/>
      </c>
      <c r="AM81" s="311"/>
    </row>
    <row r="82" spans="1:39" ht="15" customHeight="1">
      <c r="A82" s="366" t="s">
        <v>46</v>
      </c>
      <c r="B82" s="477" t="s">
        <v>51</v>
      </c>
      <c r="C82" s="429" t="s">
        <v>51</v>
      </c>
      <c r="D82" s="378">
        <v>1E-3</v>
      </c>
      <c r="E82" s="367">
        <v>4.0000000000000001E-3</v>
      </c>
      <c r="F82" s="368">
        <v>20</v>
      </c>
      <c r="G82" s="368">
        <v>60</v>
      </c>
      <c r="H82" s="370">
        <v>0.03</v>
      </c>
      <c r="I82" s="370">
        <v>0.2</v>
      </c>
      <c r="J82" s="371">
        <v>1.5</v>
      </c>
      <c r="K82" s="371">
        <v>5</v>
      </c>
      <c r="L82" s="367">
        <v>2.9999999999999997E-4</v>
      </c>
      <c r="M82" s="367">
        <v>7.5000000000000002E-4</v>
      </c>
      <c r="N82" s="368">
        <v>1</v>
      </c>
      <c r="O82" s="368">
        <v>3</v>
      </c>
      <c r="P82" s="372">
        <v>250</v>
      </c>
      <c r="Q82" s="478" t="s">
        <v>459</v>
      </c>
      <c r="R82" s="350">
        <v>-40</v>
      </c>
      <c r="S82" s="350">
        <v>125</v>
      </c>
      <c r="T82" s="373">
        <v>12500</v>
      </c>
      <c r="U82" s="374">
        <v>19000</v>
      </c>
      <c r="V82" s="320">
        <v>22000</v>
      </c>
      <c r="W82" s="804">
        <v>8.1999999999999993</v>
      </c>
      <c r="X82" s="381">
        <v>30</v>
      </c>
      <c r="Y82" s="309">
        <f t="shared" si="0"/>
        <v>76</v>
      </c>
      <c r="Z82" s="309">
        <f>IF(OR($AN$18=Devices[[#This Row],[Input Type]], 0=Devices[[#This Row],[Input Type]]),Devices[[#This Row],[Row Num]], " ")</f>
        <v>76</v>
      </c>
      <c r="AA82" s="309" t="str">
        <f>IF(OR($AN$19=Devices[[#This Row],[Input Type]], 0=Devices[[#This Row],[Input Type]]),Devices[[#This Row],[Row Num]], " ")</f>
        <v xml:space="preserve"> </v>
      </c>
      <c r="AB82" s="309" t="str">
        <f>IF(OR($AN$20=Devices[[#This Row],[Input Type]], 0=Devices[[#This Row],[Input Type]]),Devices[[#This Row],[Row Num]], " ")</f>
        <v xml:space="preserve"> </v>
      </c>
      <c r="AC82" s="309" t="str">
        <f>IF(0=Devices[[#This Row],[Input Type]], Devices[[#This Row],[Row Num]], " ")</f>
        <v xml:space="preserve"> </v>
      </c>
      <c r="AD82" s="310">
        <f>IFERROR(SMALL(Devices[Row Sel D], Devices[[#This Row],[Row Num]]), " ")</f>
        <v>103</v>
      </c>
      <c r="AE82" s="310" t="str">
        <f>IFERROR(SMALL(Devices[Row Sel IntRdiv], Devices[[#This Row],[Row Num]]), " ")</f>
        <v xml:space="preserve"> </v>
      </c>
      <c r="AF82" s="310" t="str">
        <f>IFERROR(SMALL(Devices[Row Sel SE], Devices[[#This Row],[Row Num]]), " ")</f>
        <v xml:space="preserve"> </v>
      </c>
      <c r="AG82" s="310" t="str">
        <f>IFERROR(SMALL(Devices[Row Sel N], Devices[[#This Row],[Row Num]]), " ")</f>
        <v xml:space="preserve"> </v>
      </c>
      <c r="AH82" s="310">
        <f>IFERROR(INDEX(Devices[Part], Devices[[#This Row],[Sel D]], 1), "")</f>
        <v>0</v>
      </c>
      <c r="AI82" s="310" t="str">
        <f>IFERROR(INDEX(Devices[Part], Devices[[#This Row],[Sel IntRdiv]], 1), "")</f>
        <v/>
      </c>
      <c r="AJ82" s="310" t="str">
        <f>IFERROR(INDEX(Devices[Part], Devices[[#This Row],[Sel SE]], 1), "")</f>
        <v/>
      </c>
      <c r="AK82" s="310" t="str">
        <f>IFERROR(INDEX(Devices[Part], Devices[[#This Row],[Sel N]], 1), "")</f>
        <v/>
      </c>
      <c r="AM82" s="311"/>
    </row>
    <row r="83" spans="1:39" ht="15" customHeight="1">
      <c r="A83" s="349" t="s">
        <v>202</v>
      </c>
      <c r="B83" s="477" t="s">
        <v>51</v>
      </c>
      <c r="C83" s="429" t="s">
        <v>51</v>
      </c>
      <c r="D83" s="314">
        <v>4.0000000000000002E-4</v>
      </c>
      <c r="E83" s="314">
        <v>2E-3</v>
      </c>
      <c r="F83" s="315">
        <v>6</v>
      </c>
      <c r="G83" s="315">
        <v>40</v>
      </c>
      <c r="H83" s="316">
        <v>0.02</v>
      </c>
      <c r="I83" s="316">
        <v>0.15</v>
      </c>
      <c r="J83" s="317">
        <v>0.15</v>
      </c>
      <c r="K83" s="317">
        <v>1</v>
      </c>
      <c r="L83" s="314">
        <v>2.0000000000000002E-5</v>
      </c>
      <c r="M83" s="314">
        <v>4.0000000000000002E-4</v>
      </c>
      <c r="N83" s="315">
        <v>0.9</v>
      </c>
      <c r="O83" s="315">
        <v>2.7</v>
      </c>
      <c r="P83" s="318">
        <v>250</v>
      </c>
      <c r="Q83" s="478" t="s">
        <v>459</v>
      </c>
      <c r="R83" s="350">
        <v>-40</v>
      </c>
      <c r="S83" s="350">
        <v>125</v>
      </c>
      <c r="T83" s="320">
        <v>12500</v>
      </c>
      <c r="U83" s="320">
        <v>19000</v>
      </c>
      <c r="V83" s="320">
        <v>22000</v>
      </c>
      <c r="W83" s="804">
        <v>8.1999999999999993</v>
      </c>
      <c r="X83" s="379">
        <v>30</v>
      </c>
      <c r="Y83" s="309">
        <f t="shared" si="0"/>
        <v>77</v>
      </c>
      <c r="Z83" s="309">
        <f>IF(OR($AN$18=Devices[[#This Row],[Input Type]], 0=Devices[[#This Row],[Input Type]]),Devices[[#This Row],[Row Num]], " ")</f>
        <v>77</v>
      </c>
      <c r="AA83" s="309" t="str">
        <f>IF(OR($AN$19=Devices[[#This Row],[Input Type]], 0=Devices[[#This Row],[Input Type]]),Devices[[#This Row],[Row Num]], " ")</f>
        <v xml:space="preserve"> </v>
      </c>
      <c r="AB83" s="309" t="str">
        <f>IF(OR($AN$20=Devices[[#This Row],[Input Type]], 0=Devices[[#This Row],[Input Type]]),Devices[[#This Row],[Row Num]], " ")</f>
        <v xml:space="preserve"> </v>
      </c>
      <c r="AC83" s="309" t="str">
        <f>IF(0=Devices[[#This Row],[Input Type]], Devices[[#This Row],[Row Num]], " ")</f>
        <v xml:space="preserve"> </v>
      </c>
      <c r="AD83" s="310">
        <f>IFERROR(SMALL(Devices[Row Sel D], Devices[[#This Row],[Row Num]]), " ")</f>
        <v>104</v>
      </c>
      <c r="AE83" s="310" t="str">
        <f>IFERROR(SMALL(Devices[Row Sel IntRdiv], Devices[[#This Row],[Row Num]]), " ")</f>
        <v xml:space="preserve"> </v>
      </c>
      <c r="AF83" s="310" t="str">
        <f>IFERROR(SMALL(Devices[Row Sel SE], Devices[[#This Row],[Row Num]]), " ")</f>
        <v xml:space="preserve"> </v>
      </c>
      <c r="AG83" s="325" t="str">
        <f>IFERROR(SMALL(Devices[Row Sel N], Devices[[#This Row],[Row Num]]), " ")</f>
        <v xml:space="preserve"> </v>
      </c>
      <c r="AH83" s="310">
        <f>IFERROR(INDEX(Devices[Part], Devices[[#This Row],[Sel D]], 1), "")</f>
        <v>0</v>
      </c>
      <c r="AI83" s="310" t="str">
        <f>IFERROR(INDEX(Devices[Part], Devices[[#This Row],[Sel IntRdiv]], 1), "")</f>
        <v/>
      </c>
      <c r="AJ83" s="310" t="str">
        <f>IFERROR(INDEX(Devices[Part], Devices[[#This Row],[Sel SE]], 1), "")</f>
        <v/>
      </c>
      <c r="AK83" s="310" t="str">
        <f>IFERROR(INDEX(Devices[Part], Devices[[#This Row],[Sel N]], 1), "")</f>
        <v/>
      </c>
      <c r="AM83" s="311"/>
    </row>
    <row r="84" spans="1:39" ht="15" customHeight="1">
      <c r="A84" s="349" t="s">
        <v>204</v>
      </c>
      <c r="B84" s="477" t="s">
        <v>51</v>
      </c>
      <c r="C84" s="429" t="s">
        <v>51</v>
      </c>
      <c r="D84" s="340">
        <v>4.0000000000000002E-4</v>
      </c>
      <c r="E84" s="340">
        <v>2E-3</v>
      </c>
      <c r="F84" s="341">
        <v>10</v>
      </c>
      <c r="G84" s="341">
        <v>35</v>
      </c>
      <c r="H84" s="342">
        <v>1.4999999999999999E-2</v>
      </c>
      <c r="I84" s="342">
        <v>0.05</v>
      </c>
      <c r="J84" s="343">
        <v>0.1</v>
      </c>
      <c r="K84" s="343">
        <v>0.5</v>
      </c>
      <c r="L84" s="340">
        <v>2.0000000000000002E-5</v>
      </c>
      <c r="M84" s="340">
        <v>2.9999999999999997E-4</v>
      </c>
      <c r="N84" s="341">
        <v>0.4</v>
      </c>
      <c r="O84" s="341">
        <v>1.2</v>
      </c>
      <c r="P84" s="344">
        <v>50</v>
      </c>
      <c r="Q84" s="478" t="s">
        <v>459</v>
      </c>
      <c r="R84" s="350">
        <v>-40</v>
      </c>
      <c r="S84" s="350">
        <v>125</v>
      </c>
      <c r="T84" s="321">
        <v>2500</v>
      </c>
      <c r="U84" s="321">
        <v>4750</v>
      </c>
      <c r="V84" s="320">
        <v>4900</v>
      </c>
      <c r="W84" s="804">
        <v>41</v>
      </c>
      <c r="X84" s="324">
        <v>36</v>
      </c>
      <c r="Y84" s="309">
        <f t="shared" si="0"/>
        <v>78</v>
      </c>
      <c r="Z84" s="309">
        <f>IF(OR($AN$18=Devices[[#This Row],[Input Type]], 0=Devices[[#This Row],[Input Type]]),Devices[[#This Row],[Row Num]], " ")</f>
        <v>78</v>
      </c>
      <c r="AA84" s="309" t="str">
        <f>IF(OR($AN$19=Devices[[#This Row],[Input Type]], 0=Devices[[#This Row],[Input Type]]),Devices[[#This Row],[Row Num]], " ")</f>
        <v xml:space="preserve"> </v>
      </c>
      <c r="AB84" s="309" t="str">
        <f>IF(OR($AN$20=Devices[[#This Row],[Input Type]], 0=Devices[[#This Row],[Input Type]]),Devices[[#This Row],[Row Num]], " ")</f>
        <v xml:space="preserve"> </v>
      </c>
      <c r="AC84" s="309" t="str">
        <f>IF(0=Devices[[#This Row],[Input Type]], Devices[[#This Row],[Row Num]], " ")</f>
        <v xml:space="preserve"> </v>
      </c>
      <c r="AD84" s="310">
        <f>IFERROR(SMALL(Devices[Row Sel D], Devices[[#This Row],[Row Num]]), " ")</f>
        <v>105</v>
      </c>
      <c r="AE84" s="310" t="str">
        <f>IFERROR(SMALL(Devices[Row Sel IntRdiv], Devices[[#This Row],[Row Num]]), " ")</f>
        <v xml:space="preserve"> </v>
      </c>
      <c r="AF84" s="310" t="str">
        <f>IFERROR(SMALL(Devices[Row Sel SE], Devices[[#This Row],[Row Num]]), " ")</f>
        <v xml:space="preserve"> </v>
      </c>
      <c r="AG84" s="310" t="str">
        <f>IFERROR(SMALL(Devices[Row Sel N], Devices[[#This Row],[Row Num]]), " ")</f>
        <v xml:space="preserve"> </v>
      </c>
      <c r="AH84" s="310">
        <f>IFERROR(INDEX(Devices[Part], Devices[[#This Row],[Sel D]], 1), "")</f>
        <v>0</v>
      </c>
      <c r="AI84" s="310" t="str">
        <f>IFERROR(INDEX(Devices[Part], Devices[[#This Row],[Sel IntRdiv]], 1), "")</f>
        <v/>
      </c>
      <c r="AJ84" s="310" t="str">
        <f>IFERROR(INDEX(Devices[Part], Devices[[#This Row],[Sel SE]], 1), "")</f>
        <v/>
      </c>
      <c r="AK84" s="310" t="str">
        <f>IFERROR(INDEX(Devices[Part], Devices[[#This Row],[Sel N]], 1), "")</f>
        <v/>
      </c>
      <c r="AM84" s="311"/>
    </row>
    <row r="85" spans="1:39" ht="15" customHeight="1">
      <c r="A85" s="349" t="s">
        <v>214</v>
      </c>
      <c r="B85" s="477" t="s">
        <v>51</v>
      </c>
      <c r="C85" s="429" t="s">
        <v>51</v>
      </c>
      <c r="D85" s="340">
        <v>4.0000000000000002E-4</v>
      </c>
      <c r="E85" s="340">
        <v>2E-3</v>
      </c>
      <c r="F85" s="341">
        <v>10</v>
      </c>
      <c r="G85" s="341">
        <v>35</v>
      </c>
      <c r="H85" s="342">
        <v>1.4999999999999999E-2</v>
      </c>
      <c r="I85" s="342">
        <v>0.05</v>
      </c>
      <c r="J85" s="343">
        <v>0.1</v>
      </c>
      <c r="K85" s="343">
        <v>0.5</v>
      </c>
      <c r="L85" s="340">
        <v>2.0000000000000002E-5</v>
      </c>
      <c r="M85" s="340">
        <v>2.9999999999999997E-4</v>
      </c>
      <c r="N85" s="341">
        <v>0.4</v>
      </c>
      <c r="O85" s="341">
        <v>1.2</v>
      </c>
      <c r="P85" s="344">
        <v>50</v>
      </c>
      <c r="Q85" s="478" t="s">
        <v>459</v>
      </c>
      <c r="R85" s="350">
        <v>-40</v>
      </c>
      <c r="S85" s="350">
        <v>125</v>
      </c>
      <c r="T85" s="321">
        <v>2500</v>
      </c>
      <c r="U85" s="321">
        <v>4750</v>
      </c>
      <c r="V85" s="320">
        <v>4900</v>
      </c>
      <c r="W85" s="804">
        <v>41</v>
      </c>
      <c r="X85" s="324">
        <v>36</v>
      </c>
      <c r="Y85" s="309">
        <f t="shared" si="0"/>
        <v>79</v>
      </c>
      <c r="Z85" s="309">
        <f>IF(OR($AN$18=Devices[[#This Row],[Input Type]], 0=Devices[[#This Row],[Input Type]]),Devices[[#This Row],[Row Num]], " ")</f>
        <v>79</v>
      </c>
      <c r="AA85" s="309" t="str">
        <f>IF(OR($AN$19=Devices[[#This Row],[Input Type]], 0=Devices[[#This Row],[Input Type]]),Devices[[#This Row],[Row Num]], " ")</f>
        <v xml:space="preserve"> </v>
      </c>
      <c r="AB85" s="309" t="str">
        <f>IF(OR($AN$20=Devices[[#This Row],[Input Type]], 0=Devices[[#This Row],[Input Type]]),Devices[[#This Row],[Row Num]], " ")</f>
        <v xml:space="preserve"> </v>
      </c>
      <c r="AC85" s="309" t="str">
        <f>IF(0=Devices[[#This Row],[Input Type]], Devices[[#This Row],[Row Num]], " ")</f>
        <v xml:space="preserve"> </v>
      </c>
      <c r="AD85" s="310">
        <f>IFERROR(SMALL(Devices[Row Sel D], Devices[[#This Row],[Row Num]]), " ")</f>
        <v>106</v>
      </c>
      <c r="AE85" s="310" t="str">
        <f>IFERROR(SMALL(Devices[Row Sel IntRdiv], Devices[[#This Row],[Row Num]]), " ")</f>
        <v xml:space="preserve"> </v>
      </c>
      <c r="AF85" s="310" t="str">
        <f>IFERROR(SMALL(Devices[Row Sel SE], Devices[[#This Row],[Row Num]]), " ")</f>
        <v xml:space="preserve"> </v>
      </c>
      <c r="AG85" s="325" t="str">
        <f>IFERROR(SMALL(Devices[Row Sel N], Devices[[#This Row],[Row Num]]), " ")</f>
        <v xml:space="preserve"> </v>
      </c>
      <c r="AH85" s="310">
        <f>IFERROR(INDEX(Devices[Part], Devices[[#This Row],[Sel D]], 1), "")</f>
        <v>0</v>
      </c>
      <c r="AI85" s="310" t="str">
        <f>IFERROR(INDEX(Devices[Part], Devices[[#This Row],[Sel IntRdiv]], 1), "")</f>
        <v/>
      </c>
      <c r="AJ85" s="310" t="str">
        <f>IFERROR(INDEX(Devices[Part], Devices[[#This Row],[Sel SE]], 1), "")</f>
        <v/>
      </c>
      <c r="AK85" s="310" t="str">
        <f>IFERROR(INDEX(Devices[Part], Devices[[#This Row],[Sel N]], 1), "")</f>
        <v/>
      </c>
      <c r="AM85" s="311"/>
    </row>
    <row r="86" spans="1:39" s="484" customFormat="1" ht="15" customHeight="1">
      <c r="A86" s="349" t="s">
        <v>537</v>
      </c>
      <c r="B86" s="339" t="s">
        <v>52</v>
      </c>
      <c r="C86" s="429" t="s">
        <v>51</v>
      </c>
      <c r="D86" s="485">
        <v>5.0000000000000001E-4</v>
      </c>
      <c r="E86" s="485">
        <v>2E-3</v>
      </c>
      <c r="F86" s="486">
        <v>5</v>
      </c>
      <c r="G86" s="486">
        <v>40</v>
      </c>
      <c r="H86" s="487">
        <v>0.1</v>
      </c>
      <c r="I86" s="487">
        <v>1</v>
      </c>
      <c r="J86" s="488">
        <v>3</v>
      </c>
      <c r="K86" s="488">
        <v>10</v>
      </c>
      <c r="L86" s="485">
        <v>1E-4</v>
      </c>
      <c r="M86" s="485">
        <v>2.0000000000000001E-4</v>
      </c>
      <c r="N86" s="486">
        <v>1</v>
      </c>
      <c r="O86" s="486">
        <v>3</v>
      </c>
      <c r="P86" s="489">
        <v>2000</v>
      </c>
      <c r="Q86" s="480">
        <v>2</v>
      </c>
      <c r="R86" s="490">
        <v>-40</v>
      </c>
      <c r="S86" s="490">
        <v>125</v>
      </c>
      <c r="T86" s="321">
        <v>1000000000</v>
      </c>
      <c r="U86" s="321">
        <v>1000000000</v>
      </c>
      <c r="V86" s="321">
        <v>1000000000</v>
      </c>
      <c r="W86" s="491">
        <v>1</v>
      </c>
      <c r="X86" s="807">
        <v>3.5000000000000001E-3</v>
      </c>
      <c r="Y86" s="430">
        <f>ROW()-6</f>
        <v>80</v>
      </c>
      <c r="Z86" s="430" t="str">
        <f>IF(OR($AN$18=Devices[[#This Row],[Input Type]], 0=Devices[[#This Row],[Input Type]]),Devices[[#This Row],[Row Num]], " ")</f>
        <v xml:space="preserve"> </v>
      </c>
      <c r="AA86" s="310" t="str">
        <f>IF(OR($AN$19=Devices[[#This Row],[Input Type]], 0=Devices[[#This Row],[Input Type]]),Devices[[#This Row],[Row Num]], " ")</f>
        <v xml:space="preserve"> </v>
      </c>
      <c r="AB86" s="430">
        <f>IF(OR($AN$20=Devices[[#This Row],[Input Type]], 0=Devices[[#This Row],[Input Type]]),Devices[[#This Row],[Row Num]], " ")</f>
        <v>80</v>
      </c>
      <c r="AC86" s="430" t="str">
        <f>IF(0=Devices[[#This Row],[Input Type]], Devices[[#This Row],[Row Num]], " ")</f>
        <v xml:space="preserve"> </v>
      </c>
      <c r="AD86" s="430">
        <f>IFERROR(SMALL(Devices[Row Sel D], Devices[[#This Row],[Row Num]]), " ")</f>
        <v>107</v>
      </c>
      <c r="AE86" s="310" t="str">
        <f>IFERROR(SMALL(Devices[Row Sel IntRdiv], Devices[[#This Row],[Row Num]]), " ")</f>
        <v xml:space="preserve"> </v>
      </c>
      <c r="AF86" s="430" t="str">
        <f>IFERROR(SMALL(Devices[Row Sel SE], Devices[[#This Row],[Row Num]]), " ")</f>
        <v xml:space="preserve"> </v>
      </c>
      <c r="AG86" s="430" t="str">
        <f>IFERROR(SMALL(Devices[Row Sel N], Devices[[#This Row],[Row Num]]), " ")</f>
        <v xml:space="preserve"> </v>
      </c>
      <c r="AH86" s="430">
        <f>IFERROR(INDEX(Devices[Part], Devices[[#This Row],[Sel D]], 1), "")</f>
        <v>0</v>
      </c>
      <c r="AI86" s="310" t="str">
        <f>IFERROR(INDEX(Devices[Part], Devices[[#This Row],[Sel IntRdiv]], 1), "")</f>
        <v/>
      </c>
      <c r="AJ86" s="430" t="str">
        <f>IFERROR(INDEX(Devices[Part], Devices[[#This Row],[Sel SE]], 1), "")</f>
        <v/>
      </c>
      <c r="AK86" s="430" t="str">
        <f>IFERROR(INDEX(Devices[Part], Devices[[#This Row],[Sel N]], 1), "")</f>
        <v/>
      </c>
      <c r="AM86" s="311"/>
    </row>
    <row r="87" spans="1:39" s="484" customFormat="1" ht="15" customHeight="1">
      <c r="A87" s="349" t="s">
        <v>538</v>
      </c>
      <c r="B87" s="339" t="s">
        <v>52</v>
      </c>
      <c r="C87" s="429" t="s">
        <v>51</v>
      </c>
      <c r="D87" s="485">
        <v>5.0000000000000001E-4</v>
      </c>
      <c r="E87" s="485">
        <v>2E-3</v>
      </c>
      <c r="F87" s="486">
        <v>5</v>
      </c>
      <c r="G87" s="486">
        <v>40</v>
      </c>
      <c r="H87" s="487">
        <v>0.1</v>
      </c>
      <c r="I87" s="487">
        <v>1</v>
      </c>
      <c r="J87" s="488">
        <v>3</v>
      </c>
      <c r="K87" s="488">
        <v>10</v>
      </c>
      <c r="L87" s="485">
        <v>1E-4</v>
      </c>
      <c r="M87" s="485">
        <v>2.0000000000000001E-4</v>
      </c>
      <c r="N87" s="486">
        <v>1</v>
      </c>
      <c r="O87" s="486">
        <v>3</v>
      </c>
      <c r="P87" s="489">
        <v>2000</v>
      </c>
      <c r="Q87" s="480">
        <v>2</v>
      </c>
      <c r="R87" s="490">
        <v>-40</v>
      </c>
      <c r="S87" s="490">
        <v>125</v>
      </c>
      <c r="T87" s="321">
        <v>1000000000</v>
      </c>
      <c r="U87" s="321">
        <v>1000000000</v>
      </c>
      <c r="V87" s="321">
        <v>1000000000</v>
      </c>
      <c r="W87" s="491">
        <v>1</v>
      </c>
      <c r="X87" s="807">
        <v>3.5000000000000001E-3</v>
      </c>
      <c r="Y87" s="430">
        <f>ROW()-6</f>
        <v>81</v>
      </c>
      <c r="Z87" s="430" t="str">
        <f>IF(OR($AN$18=Devices[[#This Row],[Input Type]], 0=Devices[[#This Row],[Input Type]]),Devices[[#This Row],[Row Num]], " ")</f>
        <v xml:space="preserve"> </v>
      </c>
      <c r="AA87" s="310" t="str">
        <f>IF(OR($AN$19=Devices[[#This Row],[Input Type]], 0=Devices[[#This Row],[Input Type]]),Devices[[#This Row],[Row Num]], " ")</f>
        <v xml:space="preserve"> </v>
      </c>
      <c r="AB87" s="430">
        <f>IF(OR($AN$20=Devices[[#This Row],[Input Type]], 0=Devices[[#This Row],[Input Type]]),Devices[[#This Row],[Row Num]], " ")</f>
        <v>81</v>
      </c>
      <c r="AC87" s="430" t="str">
        <f>IF(0=Devices[[#This Row],[Input Type]], Devices[[#This Row],[Row Num]], " ")</f>
        <v xml:space="preserve"> </v>
      </c>
      <c r="AD87" s="430">
        <f>IFERROR(SMALL(Devices[Row Sel D], Devices[[#This Row],[Row Num]]), " ")</f>
        <v>108</v>
      </c>
      <c r="AE87" s="310" t="str">
        <f>IFERROR(SMALL(Devices[Row Sel IntRdiv], Devices[[#This Row],[Row Num]]), " ")</f>
        <v xml:space="preserve"> </v>
      </c>
      <c r="AF87" s="430" t="str">
        <f>IFERROR(SMALL(Devices[Row Sel SE], Devices[[#This Row],[Row Num]]), " ")</f>
        <v xml:space="preserve"> </v>
      </c>
      <c r="AG87" s="430" t="str">
        <f>IFERROR(SMALL(Devices[Row Sel N], Devices[[#This Row],[Row Num]]), " ")</f>
        <v xml:space="preserve"> </v>
      </c>
      <c r="AH87" s="430">
        <f>IFERROR(INDEX(Devices[Part], Devices[[#This Row],[Sel D]], 1), "")</f>
        <v>0</v>
      </c>
      <c r="AI87" s="310" t="str">
        <f>IFERROR(INDEX(Devices[Part], Devices[[#This Row],[Sel IntRdiv]], 1), "")</f>
        <v/>
      </c>
      <c r="AJ87" s="430" t="str">
        <f>IFERROR(INDEX(Devices[Part], Devices[[#This Row],[Sel SE]], 1), "")</f>
        <v/>
      </c>
      <c r="AK87" s="430" t="str">
        <f>IFERROR(INDEX(Devices[Part], Devices[[#This Row],[Sel N]], 1), "")</f>
        <v/>
      </c>
      <c r="AM87" s="311"/>
    </row>
    <row r="88" spans="1:39" ht="15" customHeight="1">
      <c r="A88" s="349" t="s">
        <v>213</v>
      </c>
      <c r="B88" s="477" t="s">
        <v>51</v>
      </c>
      <c r="C88" s="429" t="s">
        <v>51</v>
      </c>
      <c r="D88" s="340">
        <v>8.0000000000000004E-4</v>
      </c>
      <c r="E88" s="340">
        <v>2E-3</v>
      </c>
      <c r="F88" s="341">
        <v>7</v>
      </c>
      <c r="G88" s="341">
        <v>45</v>
      </c>
      <c r="H88" s="342">
        <v>0.05</v>
      </c>
      <c r="I88" s="342">
        <v>0.3</v>
      </c>
      <c r="J88" s="343">
        <v>1</v>
      </c>
      <c r="K88" s="343">
        <v>4</v>
      </c>
      <c r="L88" s="340">
        <v>1E-4</v>
      </c>
      <c r="M88" s="340">
        <v>2.0000000000000001E-4</v>
      </c>
      <c r="N88" s="341">
        <v>0.4</v>
      </c>
      <c r="O88" s="341">
        <v>1.2</v>
      </c>
      <c r="P88" s="344">
        <v>1000</v>
      </c>
      <c r="Q88" s="478" t="s">
        <v>462</v>
      </c>
      <c r="R88" s="350">
        <v>-40</v>
      </c>
      <c r="S88" s="350">
        <v>125</v>
      </c>
      <c r="T88" s="321">
        <v>1000000000</v>
      </c>
      <c r="U88" s="321">
        <v>800000000</v>
      </c>
      <c r="V88" s="320">
        <v>1200000000</v>
      </c>
      <c r="W88" s="804">
        <v>2</v>
      </c>
      <c r="X88" s="377">
        <v>2.5000000000000001E-3</v>
      </c>
      <c r="Y88" s="309">
        <f t="shared" si="0"/>
        <v>82</v>
      </c>
      <c r="Z88" s="309">
        <f>IF(OR($AN$18=Devices[[#This Row],[Input Type]], 0=Devices[[#This Row],[Input Type]]),Devices[[#This Row],[Row Num]], " ")</f>
        <v>82</v>
      </c>
      <c r="AA88" s="309" t="str">
        <f>IF(OR($AN$19=Devices[[#This Row],[Input Type]], 0=Devices[[#This Row],[Input Type]]),Devices[[#This Row],[Row Num]], " ")</f>
        <v xml:space="preserve"> </v>
      </c>
      <c r="AB88" s="309" t="str">
        <f>IF(OR($AN$20=Devices[[#This Row],[Input Type]], 0=Devices[[#This Row],[Input Type]]),Devices[[#This Row],[Row Num]], " ")</f>
        <v xml:space="preserve"> </v>
      </c>
      <c r="AC88" s="309" t="str">
        <f>IF(0=Devices[[#This Row],[Input Type]], Devices[[#This Row],[Row Num]], " ")</f>
        <v xml:space="preserve"> </v>
      </c>
      <c r="AD88" s="310">
        <f>IFERROR(SMALL(Devices[Row Sel D], Devices[[#This Row],[Row Num]]), " ")</f>
        <v>109</v>
      </c>
      <c r="AE88" s="310" t="str">
        <f>IFERROR(SMALL(Devices[Row Sel IntRdiv], Devices[[#This Row],[Row Num]]), " ")</f>
        <v xml:space="preserve"> </v>
      </c>
      <c r="AF88" s="310" t="str">
        <f>IFERROR(SMALL(Devices[Row Sel SE], Devices[[#This Row],[Row Num]]), " ")</f>
        <v xml:space="preserve"> </v>
      </c>
      <c r="AG88" s="325" t="str">
        <f>IFERROR(SMALL(Devices[Row Sel N], Devices[[#This Row],[Row Num]]), " ")</f>
        <v xml:space="preserve"> </v>
      </c>
      <c r="AH88" s="310">
        <f>IFERROR(INDEX(Devices[Part], Devices[[#This Row],[Sel D]], 1), "")</f>
        <v>0</v>
      </c>
      <c r="AI88" s="310" t="str">
        <f>IFERROR(INDEX(Devices[Part], Devices[[#This Row],[Sel IntRdiv]], 1), "")</f>
        <v/>
      </c>
      <c r="AJ88" s="310" t="str">
        <f>IFERROR(INDEX(Devices[Part], Devices[[#This Row],[Sel SE]], 1), "")</f>
        <v/>
      </c>
      <c r="AK88" s="310" t="str">
        <f>IFERROR(INDEX(Devices[Part], Devices[[#This Row],[Sel N]], 1), "")</f>
        <v/>
      </c>
      <c r="AM88" s="311"/>
    </row>
    <row r="89" spans="1:39" ht="15" customHeight="1">
      <c r="A89" s="349" t="s">
        <v>203</v>
      </c>
      <c r="B89" s="477" t="s">
        <v>51</v>
      </c>
      <c r="C89" s="429" t="s">
        <v>51</v>
      </c>
      <c r="D89" s="340">
        <v>8.0000000000000004E-4</v>
      </c>
      <c r="E89" s="340">
        <v>2E-3</v>
      </c>
      <c r="F89" s="341">
        <v>7</v>
      </c>
      <c r="G89" s="341">
        <v>45</v>
      </c>
      <c r="H89" s="342">
        <v>0.05</v>
      </c>
      <c r="I89" s="342">
        <v>0.3</v>
      </c>
      <c r="J89" s="343">
        <v>1</v>
      </c>
      <c r="K89" s="343">
        <v>4</v>
      </c>
      <c r="L89" s="340">
        <v>1E-4</v>
      </c>
      <c r="M89" s="340">
        <v>2.0000000000000001E-4</v>
      </c>
      <c r="N89" s="341">
        <v>0.4</v>
      </c>
      <c r="O89" s="341">
        <v>1.2</v>
      </c>
      <c r="P89" s="344">
        <v>1000</v>
      </c>
      <c r="Q89" s="478" t="s">
        <v>462</v>
      </c>
      <c r="R89" s="350">
        <v>-40</v>
      </c>
      <c r="S89" s="350">
        <v>125</v>
      </c>
      <c r="T89" s="321">
        <v>1000000000</v>
      </c>
      <c r="U89" s="321">
        <v>800000000</v>
      </c>
      <c r="V89" s="320">
        <v>1200000000</v>
      </c>
      <c r="W89" s="804">
        <v>2</v>
      </c>
      <c r="X89" s="377">
        <v>2.5000000000000001E-3</v>
      </c>
      <c r="Y89" s="309">
        <f t="shared" si="0"/>
        <v>83</v>
      </c>
      <c r="Z89" s="309">
        <f>IF(OR($AN$18=Devices[[#This Row],[Input Type]], 0=Devices[[#This Row],[Input Type]]),Devices[[#This Row],[Row Num]], " ")</f>
        <v>83</v>
      </c>
      <c r="AA89" s="309" t="str">
        <f>IF(OR($AN$19=Devices[[#This Row],[Input Type]], 0=Devices[[#This Row],[Input Type]]),Devices[[#This Row],[Row Num]], " ")</f>
        <v xml:space="preserve"> </v>
      </c>
      <c r="AB89" s="309" t="str">
        <f>IF(OR($AN$20=Devices[[#This Row],[Input Type]], 0=Devices[[#This Row],[Input Type]]),Devices[[#This Row],[Row Num]], " ")</f>
        <v xml:space="preserve"> </v>
      </c>
      <c r="AC89" s="309" t="str">
        <f>IF(0=Devices[[#This Row],[Input Type]], Devices[[#This Row],[Row Num]], " ")</f>
        <v xml:space="preserve"> </v>
      </c>
      <c r="AD89" s="310">
        <f>IFERROR(SMALL(Devices[Row Sel D], Devices[[#This Row],[Row Num]]), " ")</f>
        <v>110</v>
      </c>
      <c r="AE89" s="310" t="str">
        <f>IFERROR(SMALL(Devices[Row Sel IntRdiv], Devices[[#This Row],[Row Num]]), " ")</f>
        <v xml:space="preserve"> </v>
      </c>
      <c r="AF89" s="310" t="str">
        <f>IFERROR(SMALL(Devices[Row Sel SE], Devices[[#This Row],[Row Num]]), " ")</f>
        <v xml:space="preserve"> </v>
      </c>
      <c r="AG89" s="310" t="str">
        <f>IFERROR(SMALL(Devices[Row Sel N], Devices[[#This Row],[Row Num]]), " ")</f>
        <v xml:space="preserve"> </v>
      </c>
      <c r="AH89" s="310">
        <f>IFERROR(INDEX(Devices[Part], Devices[[#This Row],[Sel D]], 1), "")</f>
        <v>0</v>
      </c>
      <c r="AI89" s="310" t="str">
        <f>IFERROR(INDEX(Devices[Part], Devices[[#This Row],[Sel IntRdiv]], 1), "")</f>
        <v/>
      </c>
      <c r="AJ89" s="310" t="str">
        <f>IFERROR(INDEX(Devices[Part], Devices[[#This Row],[Sel SE]], 1), "")</f>
        <v/>
      </c>
      <c r="AK89" s="310" t="str">
        <f>IFERROR(INDEX(Devices[Part], Devices[[#This Row],[Sel N]], 1), "")</f>
        <v/>
      </c>
      <c r="AM89" s="311"/>
    </row>
    <row r="90" spans="1:39" ht="15" customHeight="1">
      <c r="A90" s="366" t="s">
        <v>77</v>
      </c>
      <c r="B90" s="477" t="s">
        <v>52</v>
      </c>
      <c r="C90" s="429" t="s">
        <v>51</v>
      </c>
      <c r="D90" s="367">
        <v>4.0000000000000001E-3</v>
      </c>
      <c r="E90" s="367">
        <v>0.01</v>
      </c>
      <c r="F90" s="368">
        <v>20</v>
      </c>
      <c r="G90" s="368">
        <v>60</v>
      </c>
      <c r="H90" s="370">
        <v>1</v>
      </c>
      <c r="I90" s="370">
        <v>50</v>
      </c>
      <c r="J90" s="371">
        <v>12</v>
      </c>
      <c r="K90" s="371">
        <v>60</v>
      </c>
      <c r="L90" s="382">
        <v>3.0000000000000001E-5</v>
      </c>
      <c r="M90" s="367">
        <v>2.0000000000000001E-4</v>
      </c>
      <c r="N90" s="383">
        <v>0.1</v>
      </c>
      <c r="O90" s="383">
        <v>0.3</v>
      </c>
      <c r="P90" s="372">
        <v>12000</v>
      </c>
      <c r="Q90" s="478" t="s">
        <v>463</v>
      </c>
      <c r="R90" s="350">
        <v>-55</v>
      </c>
      <c r="S90" s="350">
        <v>125</v>
      </c>
      <c r="T90" s="373"/>
      <c r="U90" s="374">
        <v>1250000</v>
      </c>
      <c r="V90" s="320">
        <v>1250000</v>
      </c>
      <c r="W90" s="805">
        <v>0.33</v>
      </c>
      <c r="X90" s="384">
        <v>1.4999999999999999E-2</v>
      </c>
      <c r="Y90" s="329">
        <f>ROW()-6</f>
        <v>84</v>
      </c>
      <c r="Z90" s="329" t="str">
        <f>IF(OR($AN$18=Devices[[#This Row],[Input Type]], 0=Devices[[#This Row],[Input Type]]),Devices[[#This Row],[Row Num]], " ")</f>
        <v xml:space="preserve"> </v>
      </c>
      <c r="AA90" s="329" t="str">
        <f>IF(OR($AN$19=Devices[[#This Row],[Input Type]], 0=Devices[[#This Row],[Input Type]]),Devices[[#This Row],[Row Num]], " ")</f>
        <v xml:space="preserve"> </v>
      </c>
      <c r="AB90" s="329">
        <f>IF(OR($AN$20=Devices[[#This Row],[Input Type]], 0=Devices[[#This Row],[Input Type]]),Devices[[#This Row],[Row Num]], " ")</f>
        <v>84</v>
      </c>
      <c r="AC90" s="329" t="str">
        <f>IF(0=Devices[[#This Row],[Input Type]], Devices[[#This Row],[Row Num]], " ")</f>
        <v xml:space="preserve"> </v>
      </c>
      <c r="AD90" s="329">
        <f>IFERROR(SMALL(Devices[Row Sel D], Devices[[#This Row],[Row Num]]), " ")</f>
        <v>111</v>
      </c>
      <c r="AE90" s="329" t="str">
        <f>IFERROR(SMALL(Devices[Row Sel IntRdiv], Devices[[#This Row],[Row Num]]), " ")</f>
        <v xml:space="preserve"> </v>
      </c>
      <c r="AF90" s="329" t="str">
        <f>IFERROR(SMALL(Devices[Row Sel SE], Devices[[#This Row],[Row Num]]), " ")</f>
        <v xml:space="preserve"> </v>
      </c>
      <c r="AG90" s="329" t="str">
        <f>IFERROR(SMALL(Devices[Row Sel N], Devices[[#This Row],[Row Num]]), " ")</f>
        <v xml:space="preserve"> </v>
      </c>
      <c r="AH90" s="329">
        <f>IFERROR(INDEX(Devices[Part], Devices[[#This Row],[Sel D]], 1), "")</f>
        <v>0</v>
      </c>
      <c r="AI90" s="329" t="str">
        <f>IFERROR(INDEX(Devices[Part], Devices[[#This Row],[Sel IntRdiv]], 1), "")</f>
        <v/>
      </c>
      <c r="AJ90" s="329" t="str">
        <f>IFERROR(INDEX(Devices[Part], Devices[[#This Row],[Sel SE]], 1), "")</f>
        <v/>
      </c>
      <c r="AK90" s="329" t="str">
        <f>IFERROR(INDEX(Devices[Part], Devices[[#This Row],[Sel N]], 1), "")</f>
        <v/>
      </c>
      <c r="AM90" s="311"/>
    </row>
    <row r="91" spans="1:39" ht="15" customHeight="1">
      <c r="A91" s="326" t="s">
        <v>76</v>
      </c>
      <c r="B91" s="477" t="s">
        <v>52</v>
      </c>
      <c r="C91" s="431" t="s">
        <v>51</v>
      </c>
      <c r="D91" s="358">
        <v>5.0000000000000001E-4</v>
      </c>
      <c r="E91" s="385">
        <v>3.0000000000000001E-3</v>
      </c>
      <c r="F91" s="386">
        <v>10</v>
      </c>
      <c r="G91" s="386">
        <v>35</v>
      </c>
      <c r="H91" s="387">
        <v>1</v>
      </c>
      <c r="I91" s="387">
        <v>5</v>
      </c>
      <c r="J91" s="388">
        <v>3</v>
      </c>
      <c r="K91" s="388">
        <v>15</v>
      </c>
      <c r="L91" s="382">
        <v>3.0000000000000001E-5</v>
      </c>
      <c r="M91" s="385">
        <v>1E-4</v>
      </c>
      <c r="N91" s="383">
        <v>0.1</v>
      </c>
      <c r="O91" s="383">
        <v>0.3</v>
      </c>
      <c r="P91" s="389">
        <v>12000</v>
      </c>
      <c r="Q91" s="478" t="s">
        <v>463</v>
      </c>
      <c r="R91" s="345">
        <v>-55</v>
      </c>
      <c r="S91" s="345">
        <v>125</v>
      </c>
      <c r="T91" s="346"/>
      <c r="U91" s="390">
        <v>1250000</v>
      </c>
      <c r="V91" s="320">
        <v>1250000</v>
      </c>
      <c r="W91" s="806">
        <v>0.33</v>
      </c>
      <c r="X91" s="384">
        <v>1.4999999999999999E-2</v>
      </c>
      <c r="Y91" s="309">
        <f t="shared" si="0"/>
        <v>85</v>
      </c>
      <c r="Z91" s="309" t="str">
        <f>IF(OR($AN$18=Devices[[#This Row],[Input Type]], 0=Devices[[#This Row],[Input Type]]),Devices[[#This Row],[Row Num]], " ")</f>
        <v xml:space="preserve"> </v>
      </c>
      <c r="AA91" s="309" t="str">
        <f>IF(OR($AN$19=Devices[[#This Row],[Input Type]], 0=Devices[[#This Row],[Input Type]]),Devices[[#This Row],[Row Num]], " ")</f>
        <v xml:space="preserve"> </v>
      </c>
      <c r="AB91" s="309">
        <f>IF(OR($AN$20=Devices[[#This Row],[Input Type]], 0=Devices[[#This Row],[Input Type]]),Devices[[#This Row],[Row Num]], " ")</f>
        <v>85</v>
      </c>
      <c r="AC91" s="309" t="str">
        <f>IF(0=Devices[[#This Row],[Input Type]], Devices[[#This Row],[Row Num]], " ")</f>
        <v xml:space="preserve"> </v>
      </c>
      <c r="AD91" s="310">
        <f>IFERROR(SMALL(Devices[Row Sel D], Devices[[#This Row],[Row Num]]), " ")</f>
        <v>112</v>
      </c>
      <c r="AE91" s="310" t="str">
        <f>IFERROR(SMALL(Devices[Row Sel IntRdiv], Devices[[#This Row],[Row Num]]), " ")</f>
        <v xml:space="preserve"> </v>
      </c>
      <c r="AF91" s="310" t="str">
        <f>IFERROR(SMALL(Devices[Row Sel SE], Devices[[#This Row],[Row Num]]), " ")</f>
        <v xml:space="preserve"> </v>
      </c>
      <c r="AG91" s="325" t="str">
        <f>IFERROR(SMALL(Devices[Row Sel N], Devices[[#This Row],[Row Num]]), " ")</f>
        <v xml:space="preserve"> </v>
      </c>
      <c r="AH91" s="310">
        <f>IFERROR(INDEX(Devices[Part], Devices[[#This Row],[Sel D]], 1), "")</f>
        <v>0</v>
      </c>
      <c r="AI91" s="310" t="str">
        <f>IFERROR(INDEX(Devices[Part], Devices[[#This Row],[Sel IntRdiv]], 1), "")</f>
        <v/>
      </c>
      <c r="AJ91" s="310" t="str">
        <f>IFERROR(INDEX(Devices[Part], Devices[[#This Row],[Sel SE]], 1), "")</f>
        <v/>
      </c>
      <c r="AK91" s="310" t="str">
        <f>IFERROR(INDEX(Devices[Part], Devices[[#This Row],[Sel N]], 1), "")</f>
        <v/>
      </c>
      <c r="AM91" s="311"/>
    </row>
    <row r="92" spans="1:39" s="476" customFormat="1" ht="15" customHeight="1">
      <c r="A92" s="326" t="s">
        <v>533</v>
      </c>
      <c r="B92" s="339" t="s">
        <v>521</v>
      </c>
      <c r="C92" s="429" t="s">
        <v>51</v>
      </c>
      <c r="D92" s="485">
        <v>5.0000000000000001E-4</v>
      </c>
      <c r="E92" s="485">
        <v>2.5000000000000001E-3</v>
      </c>
      <c r="F92" s="486">
        <v>5</v>
      </c>
      <c r="G92" s="486">
        <v>40</v>
      </c>
      <c r="H92" s="487">
        <v>0.1</v>
      </c>
      <c r="I92" s="487">
        <v>0.8</v>
      </c>
      <c r="J92" s="488">
        <v>3</v>
      </c>
      <c r="K92" s="488">
        <v>10</v>
      </c>
      <c r="L92" s="485">
        <v>1E-4</v>
      </c>
      <c r="M92" s="485">
        <v>2.5000000000000001E-4</v>
      </c>
      <c r="N92" s="486">
        <v>1</v>
      </c>
      <c r="O92" s="486">
        <v>3</v>
      </c>
      <c r="P92" s="489">
        <v>1000</v>
      </c>
      <c r="Q92" s="480">
        <v>2.0499999999999998</v>
      </c>
      <c r="R92" s="345">
        <v>-40</v>
      </c>
      <c r="S92" s="345">
        <v>125</v>
      </c>
      <c r="T92" s="321">
        <v>2400000000</v>
      </c>
      <c r="U92" s="321">
        <v>2400000000</v>
      </c>
      <c r="V92" s="321">
        <v>2400000000</v>
      </c>
      <c r="W92" s="806">
        <v>2</v>
      </c>
      <c r="X92" s="492">
        <v>0</v>
      </c>
      <c r="Y92" s="430">
        <f>ROW()-6</f>
        <v>86</v>
      </c>
      <c r="Z92" s="430" t="str">
        <f>IF(OR($AN$18=Devices[[#This Row],[Input Type]], 0=Devices[[#This Row],[Input Type]]),Devices[[#This Row],[Row Num]], " ")</f>
        <v xml:space="preserve"> </v>
      </c>
      <c r="AA92" s="310">
        <f>IF(OR($AN$19=Devices[[#This Row],[Input Type]], 0=Devices[[#This Row],[Input Type]]),Devices[[#This Row],[Row Num]], " ")</f>
        <v>86</v>
      </c>
      <c r="AB92" s="430" t="str">
        <f>IF(OR($AN$20=Devices[[#This Row],[Input Type]], 0=Devices[[#This Row],[Input Type]]),Devices[[#This Row],[Row Num]], " ")</f>
        <v xml:space="preserve"> </v>
      </c>
      <c r="AC92" s="430" t="str">
        <f>IF(0=Devices[[#This Row],[Input Type]], Devices[[#This Row],[Row Num]], " ")</f>
        <v xml:space="preserve"> </v>
      </c>
      <c r="AD92" s="430">
        <f>IFERROR(SMALL(Devices[Row Sel D], Devices[[#This Row],[Row Num]]), " ")</f>
        <v>113</v>
      </c>
      <c r="AE92" s="310" t="str">
        <f>IFERROR(SMALL(Devices[Row Sel IntRdiv], Devices[[#This Row],[Row Num]]), " ")</f>
        <v xml:space="preserve"> </v>
      </c>
      <c r="AF92" s="430" t="str">
        <f>IFERROR(SMALL(Devices[Row Sel SE], Devices[[#This Row],[Row Num]]), " ")</f>
        <v xml:space="preserve"> </v>
      </c>
      <c r="AG92" s="430" t="str">
        <f>IFERROR(SMALL(Devices[Row Sel N], Devices[[#This Row],[Row Num]]), " ")</f>
        <v xml:space="preserve"> </v>
      </c>
      <c r="AH92" s="430">
        <f>IFERROR(INDEX(Devices[Part], Devices[[#This Row],[Sel D]], 1), "")</f>
        <v>0</v>
      </c>
      <c r="AI92" s="310" t="str">
        <f>IFERROR(INDEX(Devices[Part], Devices[[#This Row],[Sel IntRdiv]], 1), "")</f>
        <v/>
      </c>
      <c r="AJ92" s="430" t="str">
        <f>IFERROR(INDEX(Devices[Part], Devices[[#This Row],[Sel SE]], 1), "")</f>
        <v/>
      </c>
      <c r="AK92" s="430" t="str">
        <f>IFERROR(INDEX(Devices[Part], Devices[[#This Row],[Sel N]], 1), "")</f>
        <v/>
      </c>
      <c r="AM92" s="311"/>
    </row>
    <row r="93" spans="1:39" s="476" customFormat="1" ht="15" customHeight="1">
      <c r="A93" s="326" t="s">
        <v>534</v>
      </c>
      <c r="B93" s="339" t="s">
        <v>521</v>
      </c>
      <c r="C93" s="429" t="s">
        <v>51</v>
      </c>
      <c r="D93" s="485">
        <v>5.0000000000000001E-4</v>
      </c>
      <c r="E93" s="485">
        <v>2.5000000000000001E-3</v>
      </c>
      <c r="F93" s="486">
        <v>5</v>
      </c>
      <c r="G93" s="486">
        <v>40</v>
      </c>
      <c r="H93" s="487">
        <v>0.1</v>
      </c>
      <c r="I93" s="487">
        <v>0.8</v>
      </c>
      <c r="J93" s="488">
        <v>3</v>
      </c>
      <c r="K93" s="488">
        <v>10</v>
      </c>
      <c r="L93" s="485">
        <v>1E-4</v>
      </c>
      <c r="M93" s="485">
        <v>2.5000000000000001E-4</v>
      </c>
      <c r="N93" s="486">
        <v>1</v>
      </c>
      <c r="O93" s="486">
        <v>3</v>
      </c>
      <c r="P93" s="489">
        <v>1000</v>
      </c>
      <c r="Q93" s="480">
        <v>2.0499999999999998</v>
      </c>
      <c r="R93" s="345">
        <v>-40</v>
      </c>
      <c r="S93" s="345">
        <v>125</v>
      </c>
      <c r="T93" s="321">
        <v>2400000000</v>
      </c>
      <c r="U93" s="321">
        <v>2400000000</v>
      </c>
      <c r="V93" s="321">
        <v>2400000000</v>
      </c>
      <c r="W93" s="806">
        <v>2</v>
      </c>
      <c r="X93" s="492">
        <v>0</v>
      </c>
      <c r="Y93" s="430">
        <f>ROW()-6</f>
        <v>87</v>
      </c>
      <c r="Z93" s="430" t="str">
        <f>IF(OR($AN$18=Devices[[#This Row],[Input Type]], 0=Devices[[#This Row],[Input Type]]),Devices[[#This Row],[Row Num]], " ")</f>
        <v xml:space="preserve"> </v>
      </c>
      <c r="AA93" s="310">
        <f>IF(OR($AN$19=Devices[[#This Row],[Input Type]], 0=Devices[[#This Row],[Input Type]]),Devices[[#This Row],[Row Num]], " ")</f>
        <v>87</v>
      </c>
      <c r="AB93" s="430" t="str">
        <f>IF(OR($AN$20=Devices[[#This Row],[Input Type]], 0=Devices[[#This Row],[Input Type]]),Devices[[#This Row],[Row Num]], " ")</f>
        <v xml:space="preserve"> </v>
      </c>
      <c r="AC93" s="430" t="str">
        <f>IF(0=Devices[[#This Row],[Input Type]], Devices[[#This Row],[Row Num]], " ")</f>
        <v xml:space="preserve"> </v>
      </c>
      <c r="AD93" s="430">
        <f>IFERROR(SMALL(Devices[Row Sel D], Devices[[#This Row],[Row Num]]), " ")</f>
        <v>114</v>
      </c>
      <c r="AE93" s="310" t="str">
        <f>IFERROR(SMALL(Devices[Row Sel IntRdiv], Devices[[#This Row],[Row Num]]), " ")</f>
        <v xml:space="preserve"> </v>
      </c>
      <c r="AF93" s="430" t="str">
        <f>IFERROR(SMALL(Devices[Row Sel SE], Devices[[#This Row],[Row Num]]), " ")</f>
        <v xml:space="preserve"> </v>
      </c>
      <c r="AG93" s="430" t="str">
        <f>IFERROR(SMALL(Devices[Row Sel N], Devices[[#This Row],[Row Num]]), " ")</f>
        <v xml:space="preserve"> </v>
      </c>
      <c r="AH93" s="430">
        <f>IFERROR(INDEX(Devices[Part], Devices[[#This Row],[Sel D]], 1), "")</f>
        <v>0</v>
      </c>
      <c r="AI93" s="310" t="str">
        <f>IFERROR(INDEX(Devices[Part], Devices[[#This Row],[Sel IntRdiv]], 1), "")</f>
        <v/>
      </c>
      <c r="AJ93" s="430" t="str">
        <f>IFERROR(INDEX(Devices[Part], Devices[[#This Row],[Sel SE]], 1), "")</f>
        <v/>
      </c>
      <c r="AK93" s="430" t="str">
        <f>IFERROR(INDEX(Devices[Part], Devices[[#This Row],[Sel N]], 1), "")</f>
        <v/>
      </c>
      <c r="AM93" s="311"/>
    </row>
    <row r="94" spans="1:39" s="476" customFormat="1" ht="15" customHeight="1">
      <c r="A94" s="326" t="s">
        <v>535</v>
      </c>
      <c r="B94" s="339" t="s">
        <v>521</v>
      </c>
      <c r="C94" s="429" t="s">
        <v>51</v>
      </c>
      <c r="D94" s="485">
        <v>5.0000000000000001E-4</v>
      </c>
      <c r="E94" s="485">
        <v>2.5000000000000001E-3</v>
      </c>
      <c r="F94" s="486">
        <v>20</v>
      </c>
      <c r="G94" s="486">
        <v>40</v>
      </c>
      <c r="H94" s="487">
        <v>0.1</v>
      </c>
      <c r="I94" s="487">
        <v>0.8</v>
      </c>
      <c r="J94" s="488">
        <v>3</v>
      </c>
      <c r="K94" s="488">
        <v>10</v>
      </c>
      <c r="L94" s="485">
        <v>1E-4</v>
      </c>
      <c r="M94" s="485">
        <v>2.9999999999999997E-4</v>
      </c>
      <c r="N94" s="486">
        <v>1</v>
      </c>
      <c r="O94" s="486">
        <v>3</v>
      </c>
      <c r="P94" s="489">
        <v>1000</v>
      </c>
      <c r="Q94" s="480">
        <v>2</v>
      </c>
      <c r="R94" s="345">
        <v>-40</v>
      </c>
      <c r="S94" s="345">
        <v>125</v>
      </c>
      <c r="T94" s="321">
        <v>2400000000</v>
      </c>
      <c r="U94" s="321">
        <v>2400000000</v>
      </c>
      <c r="V94" s="321">
        <v>2400000000</v>
      </c>
      <c r="W94" s="806">
        <v>2</v>
      </c>
      <c r="X94" s="492">
        <v>0</v>
      </c>
      <c r="Y94" s="430">
        <f>ROW()-6</f>
        <v>88</v>
      </c>
      <c r="Z94" s="430" t="str">
        <f>IF(OR($AN$18=Devices[[#This Row],[Input Type]], 0=Devices[[#This Row],[Input Type]]),Devices[[#This Row],[Row Num]], " ")</f>
        <v xml:space="preserve"> </v>
      </c>
      <c r="AA94" s="310">
        <f>IF(OR($AN$19=Devices[[#This Row],[Input Type]], 0=Devices[[#This Row],[Input Type]]),Devices[[#This Row],[Row Num]], " ")</f>
        <v>88</v>
      </c>
      <c r="AB94" s="430" t="str">
        <f>IF(OR($AN$20=Devices[[#This Row],[Input Type]], 0=Devices[[#This Row],[Input Type]]),Devices[[#This Row],[Row Num]], " ")</f>
        <v xml:space="preserve"> </v>
      </c>
      <c r="AC94" s="430" t="str">
        <f>IF(0=Devices[[#This Row],[Input Type]], Devices[[#This Row],[Row Num]], " ")</f>
        <v xml:space="preserve"> </v>
      </c>
      <c r="AD94" s="430">
        <f>IFERROR(SMALL(Devices[Row Sel D], Devices[[#This Row],[Row Num]]), " ")</f>
        <v>115</v>
      </c>
      <c r="AE94" s="310" t="str">
        <f>IFERROR(SMALL(Devices[Row Sel IntRdiv], Devices[[#This Row],[Row Num]]), " ")</f>
        <v xml:space="preserve"> </v>
      </c>
      <c r="AF94" s="430" t="str">
        <f>IFERROR(SMALL(Devices[Row Sel SE], Devices[[#This Row],[Row Num]]), " ")</f>
        <v xml:space="preserve"> </v>
      </c>
      <c r="AG94" s="430" t="str">
        <f>IFERROR(SMALL(Devices[Row Sel N], Devices[[#This Row],[Row Num]]), " ")</f>
        <v xml:space="preserve"> </v>
      </c>
      <c r="AH94" s="430">
        <f>IFERROR(INDEX(Devices[Part], Devices[[#This Row],[Sel D]], 1), "")</f>
        <v>0</v>
      </c>
      <c r="AI94" s="310" t="str">
        <f>IFERROR(INDEX(Devices[Part], Devices[[#This Row],[Sel IntRdiv]], 1), "")</f>
        <v/>
      </c>
      <c r="AJ94" s="430" t="str">
        <f>IFERROR(INDEX(Devices[Part], Devices[[#This Row],[Sel SE]], 1), "")</f>
        <v/>
      </c>
      <c r="AK94" s="430" t="str">
        <f>IFERROR(INDEX(Devices[Part], Devices[[#This Row],[Sel N]], 1), "")</f>
        <v/>
      </c>
      <c r="AM94" s="311"/>
    </row>
    <row r="95" spans="1:39" ht="15" customHeight="1">
      <c r="A95" s="391" t="s">
        <v>536</v>
      </c>
      <c r="B95" s="339" t="s">
        <v>521</v>
      </c>
      <c r="C95" s="429" t="s">
        <v>51</v>
      </c>
      <c r="D95" s="485">
        <v>5.0000000000000001E-4</v>
      </c>
      <c r="E95" s="485">
        <v>2.5000000000000001E-3</v>
      </c>
      <c r="F95" s="486">
        <v>20</v>
      </c>
      <c r="G95" s="486">
        <v>40</v>
      </c>
      <c r="H95" s="487">
        <v>0.1</v>
      </c>
      <c r="I95" s="487">
        <v>0.8</v>
      </c>
      <c r="J95" s="488">
        <v>3</v>
      </c>
      <c r="K95" s="488">
        <v>10</v>
      </c>
      <c r="L95" s="485">
        <v>1E-4</v>
      </c>
      <c r="M95" s="485">
        <v>2.9999999999999997E-4</v>
      </c>
      <c r="N95" s="486">
        <v>1</v>
      </c>
      <c r="O95" s="486">
        <v>3</v>
      </c>
      <c r="P95" s="489">
        <v>1000</v>
      </c>
      <c r="Q95" s="480">
        <v>2</v>
      </c>
      <c r="R95" s="345">
        <v>-40</v>
      </c>
      <c r="S95" s="345">
        <v>125</v>
      </c>
      <c r="T95" s="321">
        <v>2400000000</v>
      </c>
      <c r="U95" s="321">
        <v>2400000000</v>
      </c>
      <c r="V95" s="321">
        <v>2400000000</v>
      </c>
      <c r="W95" s="806">
        <v>2</v>
      </c>
      <c r="X95" s="492">
        <v>0</v>
      </c>
      <c r="Y95" s="310">
        <f>ROW()-6</f>
        <v>89</v>
      </c>
      <c r="Z95" s="310" t="str">
        <f>IF(OR($AN$18=Devices[[#This Row],[Input Type]], 0=Devices[[#This Row],[Input Type]]),Devices[[#This Row],[Row Num]], " ")</f>
        <v xml:space="preserve"> </v>
      </c>
      <c r="AA95" s="310">
        <f>IF(OR($AN$19=Devices[[#This Row],[Input Type]], 0=Devices[[#This Row],[Input Type]]),Devices[[#This Row],[Row Num]], " ")</f>
        <v>89</v>
      </c>
      <c r="AB95" s="310" t="str">
        <f>IF(OR($AN$20=Devices[[#This Row],[Input Type]], 0=Devices[[#This Row],[Input Type]]),Devices[[#This Row],[Row Num]], " ")</f>
        <v xml:space="preserve"> </v>
      </c>
      <c r="AC95" s="310" t="str">
        <f>IF(0=Devices[[#This Row],[Input Type]], Devices[[#This Row],[Row Num]], " ")</f>
        <v xml:space="preserve"> </v>
      </c>
      <c r="AD95" s="310">
        <f>IFERROR(SMALL(Devices[Row Sel D], Devices[[#This Row],[Row Num]]), " ")</f>
        <v>116</v>
      </c>
      <c r="AE95" s="310" t="str">
        <f>IFERROR(SMALL(Devices[Row Sel IntRdiv], Devices[[#This Row],[Row Num]]), " ")</f>
        <v xml:space="preserve"> </v>
      </c>
      <c r="AF95" s="310" t="str">
        <f>IFERROR(SMALL(Devices[Row Sel SE], Devices[[#This Row],[Row Num]]), " ")</f>
        <v xml:space="preserve"> </v>
      </c>
      <c r="AG95" s="310" t="str">
        <f>IFERROR(SMALL(Devices[Row Sel N], Devices[[#This Row],[Row Num]]), " ")</f>
        <v xml:space="preserve"> </v>
      </c>
      <c r="AH95" s="310">
        <f>IFERROR(INDEX(Devices[Part], Devices[[#This Row],[Sel D]], 1), "")</f>
        <v>0</v>
      </c>
      <c r="AI95" s="310" t="str">
        <f>IFERROR(INDEX(Devices[Part], Devices[[#This Row],[Sel IntRdiv]], 1), "")</f>
        <v/>
      </c>
      <c r="AJ95" s="310" t="str">
        <f>IFERROR(INDEX(Devices[Part], Devices[[#This Row],[Sel SE]], 1), "")</f>
        <v/>
      </c>
      <c r="AK95" s="310" t="str">
        <f>IFERROR(INDEX(Devices[Part], Devices[[#This Row],[Sel N]], 1), "")</f>
        <v/>
      </c>
      <c r="AM95" s="311"/>
    </row>
    <row r="96" spans="1:39" ht="15" customHeight="1">
      <c r="A96" s="391"/>
      <c r="B96" s="313"/>
      <c r="C96" s="431"/>
      <c r="D96" s="395"/>
      <c r="E96" s="395"/>
      <c r="F96" s="396"/>
      <c r="G96" s="396"/>
      <c r="H96" s="397"/>
      <c r="I96" s="397"/>
      <c r="J96" s="398"/>
      <c r="K96" s="398"/>
      <c r="L96" s="395"/>
      <c r="M96" s="395"/>
      <c r="N96" s="396"/>
      <c r="O96" s="396"/>
      <c r="P96" s="399"/>
      <c r="Q96" s="400"/>
      <c r="R96" s="400"/>
      <c r="S96" s="400"/>
      <c r="T96" s="392"/>
      <c r="U96" s="392"/>
      <c r="V96" s="392"/>
      <c r="W96" s="393"/>
      <c r="X96" s="394"/>
      <c r="Y96" s="401">
        <f>ROW()-6</f>
        <v>90</v>
      </c>
      <c r="Z96" s="401">
        <f>IF(OR($AN$18=Devices[[#This Row],[Input Type]], 0=Devices[[#This Row],[Input Type]]),Devices[[#This Row],[Row Num]], " ")</f>
        <v>90</v>
      </c>
      <c r="AA96" s="401">
        <f>IF(OR($AN$19=Devices[[#This Row],[Input Type]], 0=Devices[[#This Row],[Input Type]]),Devices[[#This Row],[Row Num]], " ")</f>
        <v>90</v>
      </c>
      <c r="AB96" s="401">
        <f>IF(OR($AN$20=Devices[[#This Row],[Input Type]], 0=Devices[[#This Row],[Input Type]]),Devices[[#This Row],[Row Num]], " ")</f>
        <v>90</v>
      </c>
      <c r="AC96" s="401">
        <f>IF(0=Devices[[#This Row],[Input Type]], Devices[[#This Row],[Row Num]], " ")</f>
        <v>90</v>
      </c>
      <c r="AD96" s="401">
        <f>IFERROR(SMALL(Devices[Row Sel D], Devices[[#This Row],[Row Num]]), " ")</f>
        <v>117</v>
      </c>
      <c r="AE96" s="401" t="str">
        <f>IFERROR(SMALL(Devices[Row Sel IntRdiv], Devices[[#This Row],[Row Num]]), " ")</f>
        <v xml:space="preserve"> </v>
      </c>
      <c r="AF96" s="401" t="str">
        <f>IFERROR(SMALL(Devices[Row Sel SE], Devices[[#This Row],[Row Num]]), " ")</f>
        <v xml:space="preserve"> </v>
      </c>
      <c r="AG96" s="401" t="str">
        <f>IFERROR(SMALL(Devices[Row Sel N], Devices[[#This Row],[Row Num]]), " ")</f>
        <v xml:space="preserve"> </v>
      </c>
      <c r="AH96" s="401">
        <f>IFERROR(INDEX(Devices[Part], Devices[[#This Row],[Sel D]], 1), "")</f>
        <v>0</v>
      </c>
      <c r="AI96" s="401" t="str">
        <f>IFERROR(INDEX(Devices[Part], Devices[[#This Row],[Sel IntRdiv]], 1), "")</f>
        <v/>
      </c>
      <c r="AJ96" s="401" t="str">
        <f>IFERROR(INDEX(Devices[Part], Devices[[#This Row],[Sel SE]], 1), "")</f>
        <v/>
      </c>
      <c r="AK96" s="401" t="str">
        <f>IFERROR(INDEX(Devices[Part], Devices[[#This Row],[Sel N]], 1), "")</f>
        <v/>
      </c>
      <c r="AM96" s="311"/>
    </row>
    <row r="97" spans="1:39" ht="15" customHeight="1">
      <c r="A97" s="391"/>
      <c r="B97" s="313"/>
      <c r="C97" s="431"/>
      <c r="D97" s="395"/>
      <c r="E97" s="395"/>
      <c r="F97" s="396"/>
      <c r="G97" s="396"/>
      <c r="H97" s="397"/>
      <c r="I97" s="397"/>
      <c r="J97" s="398"/>
      <c r="K97" s="398"/>
      <c r="L97" s="395"/>
      <c r="M97" s="340"/>
      <c r="N97" s="396"/>
      <c r="O97" s="396"/>
      <c r="P97" s="399"/>
      <c r="Q97" s="400"/>
      <c r="R97" s="345"/>
      <c r="S97" s="345"/>
      <c r="T97" s="392"/>
      <c r="U97" s="392"/>
      <c r="V97" s="393"/>
      <c r="W97" s="393"/>
      <c r="X97" s="393"/>
      <c r="Y97" s="401">
        <f t="shared" ref="Y97:Y123" si="7">ROW()-6</f>
        <v>91</v>
      </c>
      <c r="Z97" s="401">
        <f>IF(OR($AN$18=Devices[[#This Row],[Input Type]], 0=Devices[[#This Row],[Input Type]]),Devices[[#This Row],[Row Num]], " ")</f>
        <v>91</v>
      </c>
      <c r="AA97" s="401">
        <f>IF(OR($AN$19=Devices[[#This Row],[Input Type]], 0=Devices[[#This Row],[Input Type]]),Devices[[#This Row],[Row Num]], " ")</f>
        <v>91</v>
      </c>
      <c r="AB97" s="401">
        <f>IF(OR($AN$20=Devices[[#This Row],[Input Type]], 0=Devices[[#This Row],[Input Type]]),Devices[[#This Row],[Row Num]], " ")</f>
        <v>91</v>
      </c>
      <c r="AC97" s="401">
        <f>IF(0=Devices[[#This Row],[Input Type]], Devices[[#This Row],[Row Num]], " ")</f>
        <v>91</v>
      </c>
      <c r="AD97" s="401">
        <f>IFERROR(SMALL(Devices[Row Sel D], Devices[[#This Row],[Row Num]]), " ")</f>
        <v>118</v>
      </c>
      <c r="AE97" s="401" t="str">
        <f>IFERROR(SMALL(Devices[Row Sel IntRdiv], Devices[[#This Row],[Row Num]]), " ")</f>
        <v xml:space="preserve"> </v>
      </c>
      <c r="AF97" s="401" t="str">
        <f>IFERROR(SMALL(Devices[Row Sel SE], Devices[[#This Row],[Row Num]]), " ")</f>
        <v xml:space="preserve"> </v>
      </c>
      <c r="AG97" s="401" t="str">
        <f>IFERROR(SMALL(Devices[Row Sel N], Devices[[#This Row],[Row Num]]), " ")</f>
        <v xml:space="preserve"> </v>
      </c>
      <c r="AH97" s="401">
        <f>IFERROR(INDEX(Devices[Part], Devices[[#This Row],[Sel D]], 1), "")</f>
        <v>0</v>
      </c>
      <c r="AI97" s="401" t="str">
        <f>IFERROR(INDEX(Devices[Part], Devices[[#This Row],[Sel IntRdiv]], 1), "")</f>
        <v/>
      </c>
      <c r="AJ97" s="401" t="str">
        <f>IFERROR(INDEX(Devices[Part], Devices[[#This Row],[Sel SE]], 1), "")</f>
        <v/>
      </c>
      <c r="AK97" s="401" t="str">
        <f>IFERROR(INDEX(Devices[Part], Devices[[#This Row],[Sel N]], 1), "")</f>
        <v/>
      </c>
      <c r="AM97" s="311"/>
    </row>
    <row r="98" spans="1:39" ht="15" customHeight="1">
      <c r="A98" s="349"/>
      <c r="B98" s="313"/>
      <c r="C98" s="431"/>
      <c r="D98" s="340"/>
      <c r="E98" s="340"/>
      <c r="F98" s="341"/>
      <c r="G98" s="341"/>
      <c r="H98" s="342"/>
      <c r="I98" s="342"/>
      <c r="J98" s="343"/>
      <c r="K98" s="343"/>
      <c r="L98" s="340"/>
      <c r="M98" s="340"/>
      <c r="N98" s="341"/>
      <c r="O98" s="341"/>
      <c r="P98" s="344"/>
      <c r="Q98" s="363"/>
      <c r="R98" s="363"/>
      <c r="S98" s="363"/>
      <c r="T98" s="321"/>
      <c r="U98" s="321"/>
      <c r="V98" s="346"/>
      <c r="W98" s="346"/>
      <c r="X98" s="324"/>
      <c r="Y98" s="401">
        <f t="shared" si="7"/>
        <v>92</v>
      </c>
      <c r="Z98" s="401">
        <f>IF(OR($AN$18=Devices[[#This Row],[Input Type]], 0=Devices[[#This Row],[Input Type]]),Devices[[#This Row],[Row Num]], " ")</f>
        <v>92</v>
      </c>
      <c r="AA98" s="401">
        <f>IF(OR($AN$19=Devices[[#This Row],[Input Type]], 0=Devices[[#This Row],[Input Type]]),Devices[[#This Row],[Row Num]], " ")</f>
        <v>92</v>
      </c>
      <c r="AB98" s="401">
        <f>IF(OR($AN$20=Devices[[#This Row],[Input Type]], 0=Devices[[#This Row],[Input Type]]),Devices[[#This Row],[Row Num]], " ")</f>
        <v>92</v>
      </c>
      <c r="AC98" s="401">
        <f>IF(0=Devices[[#This Row],[Input Type]], Devices[[#This Row],[Row Num]], " ")</f>
        <v>92</v>
      </c>
      <c r="AD98" s="401">
        <f>IFERROR(SMALL(Devices[Row Sel D], Devices[[#This Row],[Row Num]]), " ")</f>
        <v>119</v>
      </c>
      <c r="AE98" s="401" t="str">
        <f>IFERROR(SMALL(Devices[Row Sel IntRdiv], Devices[[#This Row],[Row Num]]), " ")</f>
        <v xml:space="preserve"> </v>
      </c>
      <c r="AF98" s="401" t="str">
        <f>IFERROR(SMALL(Devices[Row Sel SE], Devices[[#This Row],[Row Num]]), " ")</f>
        <v xml:space="preserve"> </v>
      </c>
      <c r="AG98" s="401" t="str">
        <f>IFERROR(SMALL(Devices[Row Sel N], Devices[[#This Row],[Row Num]]), " ")</f>
        <v xml:space="preserve"> </v>
      </c>
      <c r="AH98" s="401">
        <f>IFERROR(INDEX(Devices[Part], Devices[[#This Row],[Sel D]], 1), "")</f>
        <v>0</v>
      </c>
      <c r="AI98" s="401" t="str">
        <f>IFERROR(INDEX(Devices[Part], Devices[[#This Row],[Sel IntRdiv]], 1), "")</f>
        <v/>
      </c>
      <c r="AJ98" s="401" t="str">
        <f>IFERROR(INDEX(Devices[Part], Devices[[#This Row],[Sel SE]], 1), "")</f>
        <v/>
      </c>
      <c r="AK98" s="401" t="str">
        <f>IFERROR(INDEX(Devices[Part], Devices[[#This Row],[Sel N]], 1), "")</f>
        <v/>
      </c>
      <c r="AM98" s="311"/>
    </row>
    <row r="99" spans="1:39" ht="15" customHeight="1">
      <c r="A99" s="349"/>
      <c r="B99" s="313"/>
      <c r="C99" s="431"/>
      <c r="D99" s="395"/>
      <c r="E99" s="395"/>
      <c r="F99" s="396"/>
      <c r="G99" s="396"/>
      <c r="H99" s="397"/>
      <c r="I99" s="397"/>
      <c r="J99" s="398"/>
      <c r="K99" s="398"/>
      <c r="L99" s="395"/>
      <c r="M99" s="395"/>
      <c r="N99" s="396"/>
      <c r="O99" s="396"/>
      <c r="P99" s="399"/>
      <c r="Q99" s="400"/>
      <c r="R99" s="402"/>
      <c r="S99" s="402"/>
      <c r="T99" s="392"/>
      <c r="U99" s="392"/>
      <c r="V99" s="393"/>
      <c r="W99" s="393"/>
      <c r="X99" s="394"/>
      <c r="Y99" s="401">
        <f t="shared" si="7"/>
        <v>93</v>
      </c>
      <c r="Z99" s="401">
        <f>IF(OR($AN$18=Devices[[#This Row],[Input Type]], 0=Devices[[#This Row],[Input Type]]),Devices[[#This Row],[Row Num]], " ")</f>
        <v>93</v>
      </c>
      <c r="AA99" s="401">
        <f>IF(OR($AN$19=Devices[[#This Row],[Input Type]], 0=Devices[[#This Row],[Input Type]]),Devices[[#This Row],[Row Num]], " ")</f>
        <v>93</v>
      </c>
      <c r="AB99" s="401">
        <f>IF(OR($AN$20=Devices[[#This Row],[Input Type]], 0=Devices[[#This Row],[Input Type]]),Devices[[#This Row],[Row Num]], " ")</f>
        <v>93</v>
      </c>
      <c r="AC99" s="401">
        <f>IF(0=Devices[[#This Row],[Input Type]], Devices[[#This Row],[Row Num]], " ")</f>
        <v>93</v>
      </c>
      <c r="AD99" s="401">
        <f>IFERROR(SMALL(Devices[Row Sel D], Devices[[#This Row],[Row Num]]), " ")</f>
        <v>120</v>
      </c>
      <c r="AE99" s="401" t="str">
        <f>IFERROR(SMALL(Devices[Row Sel IntRdiv], Devices[[#This Row],[Row Num]]), " ")</f>
        <v xml:space="preserve"> </v>
      </c>
      <c r="AF99" s="401" t="str">
        <f>IFERROR(SMALL(Devices[Row Sel SE], Devices[[#This Row],[Row Num]]), " ")</f>
        <v xml:space="preserve"> </v>
      </c>
      <c r="AG99" s="401" t="str">
        <f>IFERROR(SMALL(Devices[Row Sel N], Devices[[#This Row],[Row Num]]), " ")</f>
        <v xml:space="preserve"> </v>
      </c>
      <c r="AH99" s="401">
        <f>IFERROR(INDEX(Devices[Part], Devices[[#This Row],[Sel D]], 1), "")</f>
        <v>0</v>
      </c>
      <c r="AI99" s="401" t="str">
        <f>IFERROR(INDEX(Devices[Part], Devices[[#This Row],[Sel IntRdiv]], 1), "")</f>
        <v/>
      </c>
      <c r="AJ99" s="401" t="str">
        <f>IFERROR(INDEX(Devices[Part], Devices[[#This Row],[Sel SE]], 1), "")</f>
        <v/>
      </c>
      <c r="AK99" s="401" t="str">
        <f>IFERROR(INDEX(Devices[Part], Devices[[#This Row],[Sel N]], 1), "")</f>
        <v/>
      </c>
      <c r="AM99" s="311"/>
    </row>
    <row r="100" spans="1:39" ht="15" customHeight="1">
      <c r="A100" s="349"/>
      <c r="B100" s="313"/>
      <c r="C100" s="431"/>
      <c r="D100" s="395"/>
      <c r="E100" s="395"/>
      <c r="F100" s="396"/>
      <c r="G100" s="396"/>
      <c r="H100" s="397"/>
      <c r="I100" s="397"/>
      <c r="J100" s="398"/>
      <c r="K100" s="398"/>
      <c r="L100" s="395"/>
      <c r="M100" s="395"/>
      <c r="N100" s="396"/>
      <c r="O100" s="396"/>
      <c r="P100" s="399"/>
      <c r="Q100" s="400"/>
      <c r="R100" s="402"/>
      <c r="S100" s="402"/>
      <c r="T100" s="392"/>
      <c r="U100" s="392"/>
      <c r="V100" s="393"/>
      <c r="W100" s="393"/>
      <c r="X100" s="394"/>
      <c r="Y100" s="401">
        <f t="shared" si="7"/>
        <v>94</v>
      </c>
      <c r="Z100" s="401">
        <f>IF(OR($AN$18=Devices[[#This Row],[Input Type]], 0=Devices[[#This Row],[Input Type]]),Devices[[#This Row],[Row Num]], " ")</f>
        <v>94</v>
      </c>
      <c r="AA100" s="401">
        <f>IF(OR($AN$19=Devices[[#This Row],[Input Type]], 0=Devices[[#This Row],[Input Type]]),Devices[[#This Row],[Row Num]], " ")</f>
        <v>94</v>
      </c>
      <c r="AB100" s="401">
        <f>IF(OR($AN$20=Devices[[#This Row],[Input Type]], 0=Devices[[#This Row],[Input Type]]),Devices[[#This Row],[Row Num]], " ")</f>
        <v>94</v>
      </c>
      <c r="AC100" s="401">
        <f>IF(0=Devices[[#This Row],[Input Type]], Devices[[#This Row],[Row Num]], " ")</f>
        <v>94</v>
      </c>
      <c r="AD100" s="401">
        <f>IFERROR(SMALL(Devices[Row Sel D], Devices[[#This Row],[Row Num]]), " ")</f>
        <v>121</v>
      </c>
      <c r="AE100" s="401" t="str">
        <f>IFERROR(SMALL(Devices[Row Sel IntRdiv], Devices[[#This Row],[Row Num]]), " ")</f>
        <v xml:space="preserve"> </v>
      </c>
      <c r="AF100" s="401" t="str">
        <f>IFERROR(SMALL(Devices[Row Sel SE], Devices[[#This Row],[Row Num]]), " ")</f>
        <v xml:space="preserve"> </v>
      </c>
      <c r="AG100" s="401" t="str">
        <f>IFERROR(SMALL(Devices[Row Sel N], Devices[[#This Row],[Row Num]]), " ")</f>
        <v xml:space="preserve"> </v>
      </c>
      <c r="AH100" s="401">
        <f>IFERROR(INDEX(Devices[Part], Devices[[#This Row],[Sel D]], 1), "")</f>
        <v>0</v>
      </c>
      <c r="AI100" s="401" t="str">
        <f>IFERROR(INDEX(Devices[Part], Devices[[#This Row],[Sel IntRdiv]], 1), "")</f>
        <v/>
      </c>
      <c r="AJ100" s="401" t="str">
        <f>IFERROR(INDEX(Devices[Part], Devices[[#This Row],[Sel SE]], 1), "")</f>
        <v/>
      </c>
      <c r="AK100" s="401" t="str">
        <f>IFERROR(INDEX(Devices[Part], Devices[[#This Row],[Sel N]], 1), "")</f>
        <v/>
      </c>
      <c r="AM100" s="311"/>
    </row>
    <row r="101" spans="1:39" ht="15" customHeight="1">
      <c r="A101" s="349"/>
      <c r="B101" s="313"/>
      <c r="C101" s="431"/>
      <c r="D101" s="340"/>
      <c r="E101" s="340"/>
      <c r="F101" s="341"/>
      <c r="G101" s="341"/>
      <c r="H101" s="342"/>
      <c r="I101" s="342"/>
      <c r="J101" s="343"/>
      <c r="K101" s="343"/>
      <c r="L101" s="340"/>
      <c r="M101" s="340"/>
      <c r="N101" s="341"/>
      <c r="O101" s="341"/>
      <c r="P101" s="344"/>
      <c r="Q101" s="363"/>
      <c r="R101" s="402"/>
      <c r="S101" s="402"/>
      <c r="T101" s="321"/>
      <c r="U101" s="321"/>
      <c r="V101" s="346"/>
      <c r="W101" s="346"/>
      <c r="X101" s="324"/>
      <c r="Y101" s="401">
        <f t="shared" si="7"/>
        <v>95</v>
      </c>
      <c r="Z101" s="401">
        <f>IF(OR($AN$18=Devices[[#This Row],[Input Type]], 0=Devices[[#This Row],[Input Type]]),Devices[[#This Row],[Row Num]], " ")</f>
        <v>95</v>
      </c>
      <c r="AA101" s="401">
        <f>IF(OR($AN$19=Devices[[#This Row],[Input Type]], 0=Devices[[#This Row],[Input Type]]),Devices[[#This Row],[Row Num]], " ")</f>
        <v>95</v>
      </c>
      <c r="AB101" s="401">
        <f>IF(OR($AN$20=Devices[[#This Row],[Input Type]], 0=Devices[[#This Row],[Input Type]]),Devices[[#This Row],[Row Num]], " ")</f>
        <v>95</v>
      </c>
      <c r="AC101" s="401">
        <f>IF(0=Devices[[#This Row],[Input Type]], Devices[[#This Row],[Row Num]], " ")</f>
        <v>95</v>
      </c>
      <c r="AD101" s="401">
        <f>IFERROR(SMALL(Devices[Row Sel D], Devices[[#This Row],[Row Num]]), " ")</f>
        <v>122</v>
      </c>
      <c r="AE101" s="401" t="str">
        <f>IFERROR(SMALL(Devices[Row Sel IntRdiv], Devices[[#This Row],[Row Num]]), " ")</f>
        <v xml:space="preserve"> </v>
      </c>
      <c r="AF101" s="401" t="str">
        <f>IFERROR(SMALL(Devices[Row Sel SE], Devices[[#This Row],[Row Num]]), " ")</f>
        <v xml:space="preserve"> </v>
      </c>
      <c r="AG101" s="401" t="str">
        <f>IFERROR(SMALL(Devices[Row Sel N], Devices[[#This Row],[Row Num]]), " ")</f>
        <v xml:space="preserve"> </v>
      </c>
      <c r="AH101" s="401">
        <f>IFERROR(INDEX(Devices[Part], Devices[[#This Row],[Sel D]], 1), "")</f>
        <v>0</v>
      </c>
      <c r="AI101" s="401" t="str">
        <f>IFERROR(INDEX(Devices[Part], Devices[[#This Row],[Sel IntRdiv]], 1), "")</f>
        <v/>
      </c>
      <c r="AJ101" s="401" t="str">
        <f>IFERROR(INDEX(Devices[Part], Devices[[#This Row],[Sel SE]], 1), "")</f>
        <v/>
      </c>
      <c r="AK101" s="401" t="str">
        <f>IFERROR(INDEX(Devices[Part], Devices[[#This Row],[Sel N]], 1), "")</f>
        <v/>
      </c>
      <c r="AM101" s="311"/>
    </row>
    <row r="102" spans="1:39" ht="15" customHeight="1">
      <c r="A102" s="349"/>
      <c r="B102" s="313"/>
      <c r="C102" s="431"/>
      <c r="D102" s="395"/>
      <c r="E102" s="395"/>
      <c r="F102" s="396"/>
      <c r="G102" s="396"/>
      <c r="H102" s="397"/>
      <c r="I102" s="397"/>
      <c r="J102" s="398"/>
      <c r="K102" s="398"/>
      <c r="L102" s="395"/>
      <c r="M102" s="395"/>
      <c r="N102" s="396"/>
      <c r="O102" s="396"/>
      <c r="P102" s="399"/>
      <c r="Q102" s="400"/>
      <c r="R102" s="402"/>
      <c r="S102" s="402"/>
      <c r="T102" s="392"/>
      <c r="U102" s="392"/>
      <c r="V102" s="393"/>
      <c r="W102" s="393"/>
      <c r="X102" s="394"/>
      <c r="Y102" s="401">
        <f t="shared" si="7"/>
        <v>96</v>
      </c>
      <c r="Z102" s="401">
        <f>IF(OR($AN$18=Devices[[#This Row],[Input Type]], 0=Devices[[#This Row],[Input Type]]),Devices[[#This Row],[Row Num]], " ")</f>
        <v>96</v>
      </c>
      <c r="AA102" s="401">
        <f>IF(OR($AN$19=Devices[[#This Row],[Input Type]], 0=Devices[[#This Row],[Input Type]]),Devices[[#This Row],[Row Num]], " ")</f>
        <v>96</v>
      </c>
      <c r="AB102" s="401">
        <f>IF(OR($AN$20=Devices[[#This Row],[Input Type]], 0=Devices[[#This Row],[Input Type]]),Devices[[#This Row],[Row Num]], " ")</f>
        <v>96</v>
      </c>
      <c r="AC102" s="401">
        <f>IF(0=Devices[[#This Row],[Input Type]], Devices[[#This Row],[Row Num]], " ")</f>
        <v>96</v>
      </c>
      <c r="AD102" s="401">
        <f>IFERROR(SMALL(Devices[Row Sel D], Devices[[#This Row],[Row Num]]), " ")</f>
        <v>123</v>
      </c>
      <c r="AE102" s="401" t="str">
        <f>IFERROR(SMALL(Devices[Row Sel IntRdiv], Devices[[#This Row],[Row Num]]), " ")</f>
        <v xml:space="preserve"> </v>
      </c>
      <c r="AF102" s="401" t="str">
        <f>IFERROR(SMALL(Devices[Row Sel SE], Devices[[#This Row],[Row Num]]), " ")</f>
        <v xml:space="preserve"> </v>
      </c>
      <c r="AG102" s="401" t="str">
        <f>IFERROR(SMALL(Devices[Row Sel N], Devices[[#This Row],[Row Num]]), " ")</f>
        <v xml:space="preserve"> </v>
      </c>
      <c r="AH102" s="401">
        <f>IFERROR(INDEX(Devices[Part], Devices[[#This Row],[Sel D]], 1), "")</f>
        <v>0</v>
      </c>
      <c r="AI102" s="401" t="str">
        <f>IFERROR(INDEX(Devices[Part], Devices[[#This Row],[Sel IntRdiv]], 1), "")</f>
        <v/>
      </c>
      <c r="AJ102" s="401" t="str">
        <f>IFERROR(INDEX(Devices[Part], Devices[[#This Row],[Sel SE]], 1), "")</f>
        <v/>
      </c>
      <c r="AK102" s="401" t="str">
        <f>IFERROR(INDEX(Devices[Part], Devices[[#This Row],[Sel N]], 1), "")</f>
        <v/>
      </c>
      <c r="AM102" s="311"/>
    </row>
    <row r="103" spans="1:39" ht="15" customHeight="1">
      <c r="A103" s="349"/>
      <c r="B103" s="313"/>
      <c r="C103" s="431"/>
      <c r="D103" s="395"/>
      <c r="E103" s="395"/>
      <c r="F103" s="396"/>
      <c r="G103" s="396"/>
      <c r="H103" s="397"/>
      <c r="I103" s="397"/>
      <c r="J103" s="398"/>
      <c r="K103" s="398"/>
      <c r="L103" s="395"/>
      <c r="M103" s="395"/>
      <c r="N103" s="396"/>
      <c r="O103" s="396"/>
      <c r="P103" s="399"/>
      <c r="Q103" s="400"/>
      <c r="R103" s="402"/>
      <c r="S103" s="402"/>
      <c r="T103" s="392"/>
      <c r="U103" s="392"/>
      <c r="V103" s="393"/>
      <c r="W103" s="393"/>
      <c r="X103" s="394"/>
      <c r="Y103" s="401">
        <f t="shared" si="7"/>
        <v>97</v>
      </c>
      <c r="Z103" s="401">
        <f>IF(OR($AN$18=Devices[[#This Row],[Input Type]], 0=Devices[[#This Row],[Input Type]]),Devices[[#This Row],[Row Num]], " ")</f>
        <v>97</v>
      </c>
      <c r="AA103" s="401">
        <f>IF(OR($AN$19=Devices[[#This Row],[Input Type]], 0=Devices[[#This Row],[Input Type]]),Devices[[#This Row],[Row Num]], " ")</f>
        <v>97</v>
      </c>
      <c r="AB103" s="401">
        <f>IF(OR($AN$20=Devices[[#This Row],[Input Type]], 0=Devices[[#This Row],[Input Type]]),Devices[[#This Row],[Row Num]], " ")</f>
        <v>97</v>
      </c>
      <c r="AC103" s="401">
        <f>IF(0=Devices[[#This Row],[Input Type]], Devices[[#This Row],[Row Num]], " ")</f>
        <v>97</v>
      </c>
      <c r="AD103" s="401">
        <f>IFERROR(SMALL(Devices[Row Sel D], Devices[[#This Row],[Row Num]]), " ")</f>
        <v>124</v>
      </c>
      <c r="AE103" s="401" t="str">
        <f>IFERROR(SMALL(Devices[Row Sel IntRdiv], Devices[[#This Row],[Row Num]]), " ")</f>
        <v xml:space="preserve"> </v>
      </c>
      <c r="AF103" s="401" t="str">
        <f>IFERROR(SMALL(Devices[Row Sel SE], Devices[[#This Row],[Row Num]]), " ")</f>
        <v xml:space="preserve"> </v>
      </c>
      <c r="AG103" s="401" t="str">
        <f>IFERROR(SMALL(Devices[Row Sel N], Devices[[#This Row],[Row Num]]), " ")</f>
        <v xml:space="preserve"> </v>
      </c>
      <c r="AH103" s="401">
        <f>IFERROR(INDEX(Devices[Part], Devices[[#This Row],[Sel D]], 1), "")</f>
        <v>0</v>
      </c>
      <c r="AI103" s="401" t="str">
        <f>IFERROR(INDEX(Devices[Part], Devices[[#This Row],[Sel IntRdiv]], 1), "")</f>
        <v/>
      </c>
      <c r="AJ103" s="401" t="str">
        <f>IFERROR(INDEX(Devices[Part], Devices[[#This Row],[Sel SE]], 1), "")</f>
        <v/>
      </c>
      <c r="AK103" s="401" t="str">
        <f>IFERROR(INDEX(Devices[Part], Devices[[#This Row],[Sel N]], 1), "")</f>
        <v/>
      </c>
      <c r="AM103" s="311"/>
    </row>
    <row r="104" spans="1:39" ht="15" customHeight="1">
      <c r="A104" s="349"/>
      <c r="B104" s="313"/>
      <c r="C104" s="431"/>
      <c r="D104" s="395"/>
      <c r="E104" s="395"/>
      <c r="F104" s="396"/>
      <c r="G104" s="396"/>
      <c r="H104" s="397"/>
      <c r="I104" s="397"/>
      <c r="J104" s="398"/>
      <c r="K104" s="398"/>
      <c r="L104" s="395"/>
      <c r="M104" s="395"/>
      <c r="N104" s="396"/>
      <c r="O104" s="396"/>
      <c r="P104" s="399"/>
      <c r="Q104" s="400"/>
      <c r="R104" s="402"/>
      <c r="S104" s="402"/>
      <c r="T104" s="392"/>
      <c r="U104" s="392"/>
      <c r="V104" s="393"/>
      <c r="W104" s="393"/>
      <c r="X104" s="394"/>
      <c r="Y104" s="401">
        <f t="shared" si="7"/>
        <v>98</v>
      </c>
      <c r="Z104" s="401">
        <f>IF(OR($AN$18=Devices[[#This Row],[Input Type]], 0=Devices[[#This Row],[Input Type]]),Devices[[#This Row],[Row Num]], " ")</f>
        <v>98</v>
      </c>
      <c r="AA104" s="401">
        <f>IF(OR($AN$19=Devices[[#This Row],[Input Type]], 0=Devices[[#This Row],[Input Type]]),Devices[[#This Row],[Row Num]], " ")</f>
        <v>98</v>
      </c>
      <c r="AB104" s="401">
        <f>IF(OR($AN$20=Devices[[#This Row],[Input Type]], 0=Devices[[#This Row],[Input Type]]),Devices[[#This Row],[Row Num]], " ")</f>
        <v>98</v>
      </c>
      <c r="AC104" s="401">
        <f>IF(0=Devices[[#This Row],[Input Type]], Devices[[#This Row],[Row Num]], " ")</f>
        <v>98</v>
      </c>
      <c r="AD104" s="401">
        <f>IFERROR(SMALL(Devices[Row Sel D], Devices[[#This Row],[Row Num]]), " ")</f>
        <v>125</v>
      </c>
      <c r="AE104" s="401" t="str">
        <f>IFERROR(SMALL(Devices[Row Sel IntRdiv], Devices[[#This Row],[Row Num]]), " ")</f>
        <v xml:space="preserve"> </v>
      </c>
      <c r="AF104" s="401" t="str">
        <f>IFERROR(SMALL(Devices[Row Sel SE], Devices[[#This Row],[Row Num]]), " ")</f>
        <v xml:space="preserve"> </v>
      </c>
      <c r="AG104" s="401" t="str">
        <f>IFERROR(SMALL(Devices[Row Sel N], Devices[[#This Row],[Row Num]]), " ")</f>
        <v xml:space="preserve"> </v>
      </c>
      <c r="AH104" s="401">
        <f>IFERROR(INDEX(Devices[Part], Devices[[#This Row],[Sel D]], 1), "")</f>
        <v>0</v>
      </c>
      <c r="AI104" s="401" t="str">
        <f>IFERROR(INDEX(Devices[Part], Devices[[#This Row],[Sel IntRdiv]], 1), "")</f>
        <v/>
      </c>
      <c r="AJ104" s="401" t="str">
        <f>IFERROR(INDEX(Devices[Part], Devices[[#This Row],[Sel SE]], 1), "")</f>
        <v/>
      </c>
      <c r="AK104" s="401" t="str">
        <f>IFERROR(INDEX(Devices[Part], Devices[[#This Row],[Sel N]], 1), "")</f>
        <v/>
      </c>
      <c r="AM104" s="311"/>
    </row>
    <row r="105" spans="1:39" ht="15" customHeight="1">
      <c r="A105" s="349"/>
      <c r="B105" s="313"/>
      <c r="C105" s="431"/>
      <c r="D105" s="395"/>
      <c r="E105" s="395"/>
      <c r="F105" s="396"/>
      <c r="G105" s="396"/>
      <c r="H105" s="397"/>
      <c r="I105" s="397"/>
      <c r="J105" s="398"/>
      <c r="K105" s="398"/>
      <c r="L105" s="395"/>
      <c r="M105" s="395"/>
      <c r="N105" s="396"/>
      <c r="O105" s="396"/>
      <c r="P105" s="399"/>
      <c r="Q105" s="400"/>
      <c r="R105" s="402"/>
      <c r="S105" s="402"/>
      <c r="T105" s="392"/>
      <c r="U105" s="392"/>
      <c r="V105" s="393"/>
      <c r="W105" s="393"/>
      <c r="X105" s="394"/>
      <c r="Y105" s="401">
        <f t="shared" si="7"/>
        <v>99</v>
      </c>
      <c r="Z105" s="401">
        <f>IF(OR($AN$18=Devices[[#This Row],[Input Type]], 0=Devices[[#This Row],[Input Type]]),Devices[[#This Row],[Row Num]], " ")</f>
        <v>99</v>
      </c>
      <c r="AA105" s="401">
        <f>IF(OR($AN$19=Devices[[#This Row],[Input Type]], 0=Devices[[#This Row],[Input Type]]),Devices[[#This Row],[Row Num]], " ")</f>
        <v>99</v>
      </c>
      <c r="AB105" s="401">
        <f>IF(OR($AN$20=Devices[[#This Row],[Input Type]], 0=Devices[[#This Row],[Input Type]]),Devices[[#This Row],[Row Num]], " ")</f>
        <v>99</v>
      </c>
      <c r="AC105" s="401">
        <f>IF(0=Devices[[#This Row],[Input Type]], Devices[[#This Row],[Row Num]], " ")</f>
        <v>99</v>
      </c>
      <c r="AD105" s="401">
        <f>IFERROR(SMALL(Devices[Row Sel D], Devices[[#This Row],[Row Num]]), " ")</f>
        <v>126</v>
      </c>
      <c r="AE105" s="401" t="str">
        <f>IFERROR(SMALL(Devices[Row Sel IntRdiv], Devices[[#This Row],[Row Num]]), " ")</f>
        <v xml:space="preserve"> </v>
      </c>
      <c r="AF105" s="401" t="str">
        <f>IFERROR(SMALL(Devices[Row Sel SE], Devices[[#This Row],[Row Num]]), " ")</f>
        <v xml:space="preserve"> </v>
      </c>
      <c r="AG105" s="401" t="str">
        <f>IFERROR(SMALL(Devices[Row Sel N], Devices[[#This Row],[Row Num]]), " ")</f>
        <v xml:space="preserve"> </v>
      </c>
      <c r="AH105" s="401">
        <f>IFERROR(INDEX(Devices[Part], Devices[[#This Row],[Sel D]], 1), "")</f>
        <v>0</v>
      </c>
      <c r="AI105" s="401" t="str">
        <f>IFERROR(INDEX(Devices[Part], Devices[[#This Row],[Sel IntRdiv]], 1), "")</f>
        <v/>
      </c>
      <c r="AJ105" s="401" t="str">
        <f>IFERROR(INDEX(Devices[Part], Devices[[#This Row],[Sel SE]], 1), "")</f>
        <v/>
      </c>
      <c r="AK105" s="401" t="str">
        <f>IFERROR(INDEX(Devices[Part], Devices[[#This Row],[Sel N]], 1), "")</f>
        <v/>
      </c>
      <c r="AM105" s="311"/>
    </row>
    <row r="106" spans="1:39" ht="15" customHeight="1">
      <c r="A106" s="326"/>
      <c r="B106" s="313"/>
      <c r="C106" s="431"/>
      <c r="D106" s="395"/>
      <c r="E106" s="395"/>
      <c r="F106" s="396"/>
      <c r="G106" s="396"/>
      <c r="H106" s="397"/>
      <c r="I106" s="397"/>
      <c r="J106" s="398"/>
      <c r="K106" s="398"/>
      <c r="L106" s="395"/>
      <c r="M106" s="395"/>
      <c r="N106" s="396"/>
      <c r="O106" s="396"/>
      <c r="P106" s="399"/>
      <c r="Q106" s="400"/>
      <c r="R106" s="402"/>
      <c r="S106" s="402"/>
      <c r="T106" s="392"/>
      <c r="U106" s="392"/>
      <c r="V106" s="393"/>
      <c r="W106" s="393"/>
      <c r="X106" s="394"/>
      <c r="Y106" s="401">
        <f t="shared" si="7"/>
        <v>100</v>
      </c>
      <c r="Z106" s="401">
        <f>IF(OR($AN$18=Devices[[#This Row],[Input Type]], 0=Devices[[#This Row],[Input Type]]),Devices[[#This Row],[Row Num]], " ")</f>
        <v>100</v>
      </c>
      <c r="AA106" s="401">
        <f>IF(OR($AN$19=Devices[[#This Row],[Input Type]], 0=Devices[[#This Row],[Input Type]]),Devices[[#This Row],[Row Num]], " ")</f>
        <v>100</v>
      </c>
      <c r="AB106" s="401">
        <f>IF(OR($AN$20=Devices[[#This Row],[Input Type]], 0=Devices[[#This Row],[Input Type]]),Devices[[#This Row],[Row Num]], " ")</f>
        <v>100</v>
      </c>
      <c r="AC106" s="401">
        <f>IF(0=Devices[[#This Row],[Input Type]], Devices[[#This Row],[Row Num]], " ")</f>
        <v>100</v>
      </c>
      <c r="AD106" s="401">
        <f>IFERROR(SMALL(Devices[Row Sel D], Devices[[#This Row],[Row Num]]), " ")</f>
        <v>127</v>
      </c>
      <c r="AE106" s="401" t="str">
        <f>IFERROR(SMALL(Devices[Row Sel IntRdiv], Devices[[#This Row],[Row Num]]), " ")</f>
        <v xml:space="preserve"> </v>
      </c>
      <c r="AF106" s="401" t="str">
        <f>IFERROR(SMALL(Devices[Row Sel SE], Devices[[#This Row],[Row Num]]), " ")</f>
        <v xml:space="preserve"> </v>
      </c>
      <c r="AG106" s="401" t="str">
        <f>IFERROR(SMALL(Devices[Row Sel N], Devices[[#This Row],[Row Num]]), " ")</f>
        <v xml:space="preserve"> </v>
      </c>
      <c r="AH106" s="401">
        <f>IFERROR(INDEX(Devices[Part], Devices[[#This Row],[Sel D]], 1), "")</f>
        <v>0</v>
      </c>
      <c r="AI106" s="401" t="str">
        <f>IFERROR(INDEX(Devices[Part], Devices[[#This Row],[Sel IntRdiv]], 1), "")</f>
        <v/>
      </c>
      <c r="AJ106" s="401" t="str">
        <f>IFERROR(INDEX(Devices[Part], Devices[[#This Row],[Sel SE]], 1), "")</f>
        <v/>
      </c>
      <c r="AK106" s="401" t="str">
        <f>IFERROR(INDEX(Devices[Part], Devices[[#This Row],[Sel N]], 1), "")</f>
        <v/>
      </c>
      <c r="AM106" s="311"/>
    </row>
    <row r="107" spans="1:39" ht="15" customHeight="1">
      <c r="A107" s="326"/>
      <c r="B107" s="313"/>
      <c r="C107" s="431"/>
      <c r="D107" s="395"/>
      <c r="E107" s="395"/>
      <c r="F107" s="396"/>
      <c r="G107" s="396"/>
      <c r="H107" s="397"/>
      <c r="I107" s="397"/>
      <c r="J107" s="398"/>
      <c r="K107" s="398"/>
      <c r="L107" s="395"/>
      <c r="M107" s="395"/>
      <c r="N107" s="396"/>
      <c r="O107" s="396"/>
      <c r="P107" s="399"/>
      <c r="Q107" s="400"/>
      <c r="R107" s="402"/>
      <c r="S107" s="402"/>
      <c r="T107" s="392"/>
      <c r="U107" s="392"/>
      <c r="V107" s="393"/>
      <c r="W107" s="393"/>
      <c r="X107" s="394"/>
      <c r="Y107" s="401">
        <f t="shared" si="7"/>
        <v>101</v>
      </c>
      <c r="Z107" s="401">
        <f>IF(OR($AN$18=Devices[[#This Row],[Input Type]], 0=Devices[[#This Row],[Input Type]]),Devices[[#This Row],[Row Num]], " ")</f>
        <v>101</v>
      </c>
      <c r="AA107" s="401">
        <f>IF(OR($AN$19=Devices[[#This Row],[Input Type]], 0=Devices[[#This Row],[Input Type]]),Devices[[#This Row],[Row Num]], " ")</f>
        <v>101</v>
      </c>
      <c r="AB107" s="401">
        <f>IF(OR($AN$20=Devices[[#This Row],[Input Type]], 0=Devices[[#This Row],[Input Type]]),Devices[[#This Row],[Row Num]], " ")</f>
        <v>101</v>
      </c>
      <c r="AC107" s="401">
        <f>IF(0=Devices[[#This Row],[Input Type]], Devices[[#This Row],[Row Num]], " ")</f>
        <v>101</v>
      </c>
      <c r="AD107" s="401" t="str">
        <f>IFERROR(SMALL(Devices[Row Sel D], Devices[[#This Row],[Row Num]]), " ")</f>
        <v xml:space="preserve"> </v>
      </c>
      <c r="AE107" s="401" t="str">
        <f>IFERROR(SMALL(Devices[Row Sel IntRdiv], Devices[[#This Row],[Row Num]]), " ")</f>
        <v xml:space="preserve"> </v>
      </c>
      <c r="AF107" s="401" t="str">
        <f>IFERROR(SMALL(Devices[Row Sel SE], Devices[[#This Row],[Row Num]]), " ")</f>
        <v xml:space="preserve"> </v>
      </c>
      <c r="AG107" s="401" t="str">
        <f>IFERROR(SMALL(Devices[Row Sel N], Devices[[#This Row],[Row Num]]), " ")</f>
        <v xml:space="preserve"> </v>
      </c>
      <c r="AH107" s="401" t="str">
        <f>IFERROR(INDEX(Devices[Part], Devices[[#This Row],[Sel D]], 1), "")</f>
        <v/>
      </c>
      <c r="AI107" s="401" t="str">
        <f>IFERROR(INDEX(Devices[Part], Devices[[#This Row],[Sel IntRdiv]], 1), "")</f>
        <v/>
      </c>
      <c r="AJ107" s="401" t="str">
        <f>IFERROR(INDEX(Devices[Part], Devices[[#This Row],[Sel SE]], 1), "")</f>
        <v/>
      </c>
      <c r="AK107" s="401" t="str">
        <f>IFERROR(INDEX(Devices[Part], Devices[[#This Row],[Sel N]], 1), "")</f>
        <v/>
      </c>
      <c r="AM107" s="311"/>
    </row>
    <row r="108" spans="1:39" ht="15" customHeight="1">
      <c r="A108" s="326"/>
      <c r="B108" s="313"/>
      <c r="C108" s="431"/>
      <c r="D108" s="395"/>
      <c r="E108" s="395"/>
      <c r="F108" s="396"/>
      <c r="G108" s="396"/>
      <c r="H108" s="397"/>
      <c r="I108" s="397"/>
      <c r="J108" s="398"/>
      <c r="K108" s="398"/>
      <c r="L108" s="395"/>
      <c r="M108" s="395"/>
      <c r="N108" s="396"/>
      <c r="O108" s="396"/>
      <c r="P108" s="399"/>
      <c r="Q108" s="400"/>
      <c r="R108" s="402"/>
      <c r="S108" s="402"/>
      <c r="T108" s="392"/>
      <c r="U108" s="392"/>
      <c r="V108" s="393"/>
      <c r="W108" s="393"/>
      <c r="X108" s="394"/>
      <c r="Y108" s="401">
        <f t="shared" si="7"/>
        <v>102</v>
      </c>
      <c r="Z108" s="401">
        <f>IF(OR($AN$18=Devices[[#This Row],[Input Type]], 0=Devices[[#This Row],[Input Type]]),Devices[[#This Row],[Row Num]], " ")</f>
        <v>102</v>
      </c>
      <c r="AA108" s="401">
        <f>IF(OR($AN$19=Devices[[#This Row],[Input Type]], 0=Devices[[#This Row],[Input Type]]),Devices[[#This Row],[Row Num]], " ")</f>
        <v>102</v>
      </c>
      <c r="AB108" s="401">
        <f>IF(OR($AN$20=Devices[[#This Row],[Input Type]], 0=Devices[[#This Row],[Input Type]]),Devices[[#This Row],[Row Num]], " ")</f>
        <v>102</v>
      </c>
      <c r="AC108" s="401">
        <f>IF(0=Devices[[#This Row],[Input Type]], Devices[[#This Row],[Row Num]], " ")</f>
        <v>102</v>
      </c>
      <c r="AD108" s="401" t="str">
        <f>IFERROR(SMALL(Devices[Row Sel D], Devices[[#This Row],[Row Num]]), " ")</f>
        <v xml:space="preserve"> </v>
      </c>
      <c r="AE108" s="401" t="str">
        <f>IFERROR(SMALL(Devices[Row Sel IntRdiv], Devices[[#This Row],[Row Num]]), " ")</f>
        <v xml:space="preserve"> </v>
      </c>
      <c r="AF108" s="401" t="str">
        <f>IFERROR(SMALL(Devices[Row Sel SE], Devices[[#This Row],[Row Num]]), " ")</f>
        <v xml:space="preserve"> </v>
      </c>
      <c r="AG108" s="401" t="str">
        <f>IFERROR(SMALL(Devices[Row Sel N], Devices[[#This Row],[Row Num]]), " ")</f>
        <v xml:space="preserve"> </v>
      </c>
      <c r="AH108" s="401" t="str">
        <f>IFERROR(INDEX(Devices[Part], Devices[[#This Row],[Sel D]], 1), "")</f>
        <v/>
      </c>
      <c r="AI108" s="401" t="str">
        <f>IFERROR(INDEX(Devices[Part], Devices[[#This Row],[Sel IntRdiv]], 1), "")</f>
        <v/>
      </c>
      <c r="AJ108" s="401" t="str">
        <f>IFERROR(INDEX(Devices[Part], Devices[[#This Row],[Sel SE]], 1), "")</f>
        <v/>
      </c>
      <c r="AK108" s="401" t="str">
        <f>IFERROR(INDEX(Devices[Part], Devices[[#This Row],[Sel N]], 1), "")</f>
        <v/>
      </c>
      <c r="AM108" s="311"/>
    </row>
    <row r="109" spans="1:39" ht="15" customHeight="1">
      <c r="A109" s="326"/>
      <c r="B109" s="313"/>
      <c r="C109" s="431"/>
      <c r="D109" s="395"/>
      <c r="E109" s="395"/>
      <c r="F109" s="396"/>
      <c r="G109" s="396"/>
      <c r="H109" s="397"/>
      <c r="I109" s="397"/>
      <c r="J109" s="398"/>
      <c r="K109" s="398"/>
      <c r="L109" s="395"/>
      <c r="M109" s="395"/>
      <c r="N109" s="396"/>
      <c r="O109" s="396"/>
      <c r="P109" s="399"/>
      <c r="Q109" s="400"/>
      <c r="R109" s="402"/>
      <c r="S109" s="402"/>
      <c r="T109" s="392"/>
      <c r="U109" s="392"/>
      <c r="V109" s="393"/>
      <c r="W109" s="393"/>
      <c r="X109" s="394"/>
      <c r="Y109" s="401">
        <f t="shared" si="7"/>
        <v>103</v>
      </c>
      <c r="Z109" s="401">
        <f>IF(OR($AN$18=Devices[[#This Row],[Input Type]], 0=Devices[[#This Row],[Input Type]]),Devices[[#This Row],[Row Num]], " ")</f>
        <v>103</v>
      </c>
      <c r="AA109" s="401">
        <f>IF(OR($AN$19=Devices[[#This Row],[Input Type]], 0=Devices[[#This Row],[Input Type]]),Devices[[#This Row],[Row Num]], " ")</f>
        <v>103</v>
      </c>
      <c r="AB109" s="401">
        <f>IF(OR($AN$20=Devices[[#This Row],[Input Type]], 0=Devices[[#This Row],[Input Type]]),Devices[[#This Row],[Row Num]], " ")</f>
        <v>103</v>
      </c>
      <c r="AC109" s="401">
        <f>IF(0=Devices[[#This Row],[Input Type]], Devices[[#This Row],[Row Num]], " ")</f>
        <v>103</v>
      </c>
      <c r="AD109" s="401" t="str">
        <f>IFERROR(SMALL(Devices[Row Sel D], Devices[[#This Row],[Row Num]]), " ")</f>
        <v xml:space="preserve"> </v>
      </c>
      <c r="AE109" s="401" t="str">
        <f>IFERROR(SMALL(Devices[Row Sel IntRdiv], Devices[[#This Row],[Row Num]]), " ")</f>
        <v xml:space="preserve"> </v>
      </c>
      <c r="AF109" s="401" t="str">
        <f>IFERROR(SMALL(Devices[Row Sel SE], Devices[[#This Row],[Row Num]]), " ")</f>
        <v xml:space="preserve"> </v>
      </c>
      <c r="AG109" s="401" t="str">
        <f>IFERROR(SMALL(Devices[Row Sel N], Devices[[#This Row],[Row Num]]), " ")</f>
        <v xml:space="preserve"> </v>
      </c>
      <c r="AH109" s="401" t="str">
        <f>IFERROR(INDEX(Devices[Part], Devices[[#This Row],[Sel D]], 1), "")</f>
        <v/>
      </c>
      <c r="AI109" s="401" t="str">
        <f>IFERROR(INDEX(Devices[Part], Devices[[#This Row],[Sel IntRdiv]], 1), "")</f>
        <v/>
      </c>
      <c r="AJ109" s="401" t="str">
        <f>IFERROR(INDEX(Devices[Part], Devices[[#This Row],[Sel SE]], 1), "")</f>
        <v/>
      </c>
      <c r="AK109" s="401" t="str">
        <f>IFERROR(INDEX(Devices[Part], Devices[[#This Row],[Sel N]], 1), "")</f>
        <v/>
      </c>
      <c r="AM109" s="311"/>
    </row>
    <row r="110" spans="1:39" ht="15" customHeight="1">
      <c r="A110" s="326"/>
      <c r="B110" s="313"/>
      <c r="C110" s="431"/>
      <c r="D110" s="395"/>
      <c r="E110" s="395"/>
      <c r="F110" s="396"/>
      <c r="G110" s="396"/>
      <c r="H110" s="397"/>
      <c r="I110" s="397"/>
      <c r="J110" s="398"/>
      <c r="K110" s="398"/>
      <c r="L110" s="395"/>
      <c r="M110" s="395"/>
      <c r="N110" s="396"/>
      <c r="O110" s="396"/>
      <c r="P110" s="399"/>
      <c r="Q110" s="400"/>
      <c r="R110" s="402"/>
      <c r="S110" s="402"/>
      <c r="T110" s="392"/>
      <c r="U110" s="392"/>
      <c r="V110" s="393"/>
      <c r="W110" s="393"/>
      <c r="X110" s="394"/>
      <c r="Y110" s="401">
        <f t="shared" si="7"/>
        <v>104</v>
      </c>
      <c r="Z110" s="401">
        <f>IF(OR($AN$18=Devices[[#This Row],[Input Type]], 0=Devices[[#This Row],[Input Type]]),Devices[[#This Row],[Row Num]], " ")</f>
        <v>104</v>
      </c>
      <c r="AA110" s="401">
        <f>IF(OR($AN$19=Devices[[#This Row],[Input Type]], 0=Devices[[#This Row],[Input Type]]),Devices[[#This Row],[Row Num]], " ")</f>
        <v>104</v>
      </c>
      <c r="AB110" s="401">
        <f>IF(OR($AN$20=Devices[[#This Row],[Input Type]], 0=Devices[[#This Row],[Input Type]]),Devices[[#This Row],[Row Num]], " ")</f>
        <v>104</v>
      </c>
      <c r="AC110" s="401">
        <f>IF(0=Devices[[#This Row],[Input Type]], Devices[[#This Row],[Row Num]], " ")</f>
        <v>104</v>
      </c>
      <c r="AD110" s="401" t="str">
        <f>IFERROR(SMALL(Devices[Row Sel D], Devices[[#This Row],[Row Num]]), " ")</f>
        <v xml:space="preserve"> </v>
      </c>
      <c r="AE110" s="401" t="str">
        <f>IFERROR(SMALL(Devices[Row Sel IntRdiv], Devices[[#This Row],[Row Num]]), " ")</f>
        <v xml:space="preserve"> </v>
      </c>
      <c r="AF110" s="401" t="str">
        <f>IFERROR(SMALL(Devices[Row Sel SE], Devices[[#This Row],[Row Num]]), " ")</f>
        <v xml:space="preserve"> </v>
      </c>
      <c r="AG110" s="401" t="str">
        <f>IFERROR(SMALL(Devices[Row Sel N], Devices[[#This Row],[Row Num]]), " ")</f>
        <v xml:space="preserve"> </v>
      </c>
      <c r="AH110" s="401" t="str">
        <f>IFERROR(INDEX(Devices[Part], Devices[[#This Row],[Sel D]], 1), "")</f>
        <v/>
      </c>
      <c r="AI110" s="401" t="str">
        <f>IFERROR(INDEX(Devices[Part], Devices[[#This Row],[Sel IntRdiv]], 1), "")</f>
        <v/>
      </c>
      <c r="AJ110" s="401" t="str">
        <f>IFERROR(INDEX(Devices[Part], Devices[[#This Row],[Sel SE]], 1), "")</f>
        <v/>
      </c>
      <c r="AK110" s="401" t="str">
        <f>IFERROR(INDEX(Devices[Part], Devices[[#This Row],[Sel N]], 1), "")</f>
        <v/>
      </c>
      <c r="AM110" s="311"/>
    </row>
    <row r="111" spans="1:39" ht="15" customHeight="1">
      <c r="A111" s="326"/>
      <c r="B111" s="313"/>
      <c r="C111" s="431"/>
      <c r="D111" s="395"/>
      <c r="E111" s="395"/>
      <c r="F111" s="396"/>
      <c r="G111" s="396"/>
      <c r="H111" s="397"/>
      <c r="I111" s="397"/>
      <c r="J111" s="398"/>
      <c r="K111" s="398"/>
      <c r="L111" s="395"/>
      <c r="M111" s="395"/>
      <c r="N111" s="396"/>
      <c r="O111" s="396"/>
      <c r="P111" s="399"/>
      <c r="Q111" s="400"/>
      <c r="R111" s="402"/>
      <c r="S111" s="402"/>
      <c r="T111" s="392"/>
      <c r="U111" s="392"/>
      <c r="V111" s="393"/>
      <c r="W111" s="393"/>
      <c r="X111" s="394"/>
      <c r="Y111" s="401">
        <f t="shared" si="7"/>
        <v>105</v>
      </c>
      <c r="Z111" s="401">
        <f>IF(OR($AN$18=Devices[[#This Row],[Input Type]], 0=Devices[[#This Row],[Input Type]]),Devices[[#This Row],[Row Num]], " ")</f>
        <v>105</v>
      </c>
      <c r="AA111" s="401">
        <f>IF(OR($AN$19=Devices[[#This Row],[Input Type]], 0=Devices[[#This Row],[Input Type]]),Devices[[#This Row],[Row Num]], " ")</f>
        <v>105</v>
      </c>
      <c r="AB111" s="401">
        <f>IF(OR($AN$20=Devices[[#This Row],[Input Type]], 0=Devices[[#This Row],[Input Type]]),Devices[[#This Row],[Row Num]], " ")</f>
        <v>105</v>
      </c>
      <c r="AC111" s="401">
        <f>IF(0=Devices[[#This Row],[Input Type]], Devices[[#This Row],[Row Num]], " ")</f>
        <v>105</v>
      </c>
      <c r="AD111" s="401" t="str">
        <f>IFERROR(SMALL(Devices[Row Sel D], Devices[[#This Row],[Row Num]]), " ")</f>
        <v xml:space="preserve"> </v>
      </c>
      <c r="AE111" s="401" t="str">
        <f>IFERROR(SMALL(Devices[Row Sel IntRdiv], Devices[[#This Row],[Row Num]]), " ")</f>
        <v xml:space="preserve"> </v>
      </c>
      <c r="AF111" s="401" t="str">
        <f>IFERROR(SMALL(Devices[Row Sel SE], Devices[[#This Row],[Row Num]]), " ")</f>
        <v xml:space="preserve"> </v>
      </c>
      <c r="AG111" s="401" t="str">
        <f>IFERROR(SMALL(Devices[Row Sel N], Devices[[#This Row],[Row Num]]), " ")</f>
        <v xml:space="preserve"> </v>
      </c>
      <c r="AH111" s="401" t="str">
        <f>IFERROR(INDEX(Devices[Part], Devices[[#This Row],[Sel D]], 1), "")</f>
        <v/>
      </c>
      <c r="AI111" s="401" t="str">
        <f>IFERROR(INDEX(Devices[Part], Devices[[#This Row],[Sel IntRdiv]], 1), "")</f>
        <v/>
      </c>
      <c r="AJ111" s="401" t="str">
        <f>IFERROR(INDEX(Devices[Part], Devices[[#This Row],[Sel SE]], 1), "")</f>
        <v/>
      </c>
      <c r="AK111" s="401" t="str">
        <f>IFERROR(INDEX(Devices[Part], Devices[[#This Row],[Sel N]], 1), "")</f>
        <v/>
      </c>
      <c r="AM111" s="311"/>
    </row>
    <row r="112" spans="1:39" ht="15" customHeight="1">
      <c r="A112" s="326"/>
      <c r="B112" s="313"/>
      <c r="C112" s="431"/>
      <c r="D112" s="395"/>
      <c r="E112" s="395"/>
      <c r="F112" s="396"/>
      <c r="G112" s="396"/>
      <c r="H112" s="397"/>
      <c r="I112" s="397"/>
      <c r="J112" s="398"/>
      <c r="K112" s="398"/>
      <c r="L112" s="395"/>
      <c r="M112" s="395"/>
      <c r="N112" s="396"/>
      <c r="O112" s="396"/>
      <c r="P112" s="399"/>
      <c r="Q112" s="400"/>
      <c r="R112" s="402"/>
      <c r="S112" s="402"/>
      <c r="T112" s="392"/>
      <c r="U112" s="320"/>
      <c r="V112" s="320"/>
      <c r="W112" s="393"/>
      <c r="X112" s="394"/>
      <c r="Y112" s="401">
        <f t="shared" si="7"/>
        <v>106</v>
      </c>
      <c r="Z112" s="401">
        <f>IF(OR($AN$18=Devices[[#This Row],[Input Type]], 0=Devices[[#This Row],[Input Type]]),Devices[[#This Row],[Row Num]], " ")</f>
        <v>106</v>
      </c>
      <c r="AA112" s="401">
        <f>IF(OR($AN$19=Devices[[#This Row],[Input Type]], 0=Devices[[#This Row],[Input Type]]),Devices[[#This Row],[Row Num]], " ")</f>
        <v>106</v>
      </c>
      <c r="AB112" s="401">
        <f>IF(OR($AN$20=Devices[[#This Row],[Input Type]], 0=Devices[[#This Row],[Input Type]]),Devices[[#This Row],[Row Num]], " ")</f>
        <v>106</v>
      </c>
      <c r="AC112" s="401">
        <f>IF(0=Devices[[#This Row],[Input Type]], Devices[[#This Row],[Row Num]], " ")</f>
        <v>106</v>
      </c>
      <c r="AD112" s="401" t="str">
        <f>IFERROR(SMALL(Devices[Row Sel D], Devices[[#This Row],[Row Num]]), " ")</f>
        <v xml:space="preserve"> </v>
      </c>
      <c r="AE112" s="401" t="str">
        <f>IFERROR(SMALL(Devices[Row Sel IntRdiv], Devices[[#This Row],[Row Num]]), " ")</f>
        <v xml:space="preserve"> </v>
      </c>
      <c r="AF112" s="401" t="str">
        <f>IFERROR(SMALL(Devices[Row Sel SE], Devices[[#This Row],[Row Num]]), " ")</f>
        <v xml:space="preserve"> </v>
      </c>
      <c r="AG112" s="401" t="str">
        <f>IFERROR(SMALL(Devices[Row Sel N], Devices[[#This Row],[Row Num]]), " ")</f>
        <v xml:space="preserve"> </v>
      </c>
      <c r="AH112" s="401" t="str">
        <f>IFERROR(INDEX(Devices[Part], Devices[[#This Row],[Sel D]], 1), "")</f>
        <v/>
      </c>
      <c r="AI112" s="401" t="str">
        <f>IFERROR(INDEX(Devices[Part], Devices[[#This Row],[Sel IntRdiv]], 1), "")</f>
        <v/>
      </c>
      <c r="AJ112" s="401" t="str">
        <f>IFERROR(INDEX(Devices[Part], Devices[[#This Row],[Sel SE]], 1), "")</f>
        <v/>
      </c>
      <c r="AK112" s="401" t="str">
        <f>IFERROR(INDEX(Devices[Part], Devices[[#This Row],[Sel N]], 1), "")</f>
        <v/>
      </c>
      <c r="AM112" s="311"/>
    </row>
    <row r="113" spans="1:39" ht="15" customHeight="1">
      <c r="A113" s="326"/>
      <c r="B113" s="313"/>
      <c r="C113" s="431"/>
      <c r="D113" s="395"/>
      <c r="E113" s="395"/>
      <c r="F113" s="396"/>
      <c r="G113" s="396"/>
      <c r="H113" s="397"/>
      <c r="I113" s="397"/>
      <c r="J113" s="398"/>
      <c r="K113" s="398"/>
      <c r="L113" s="395"/>
      <c r="M113" s="395"/>
      <c r="N113" s="396"/>
      <c r="O113" s="396"/>
      <c r="P113" s="399"/>
      <c r="Q113" s="400"/>
      <c r="R113" s="402"/>
      <c r="S113" s="402"/>
      <c r="T113" s="392"/>
      <c r="U113" s="320"/>
      <c r="V113" s="320"/>
      <c r="W113" s="393"/>
      <c r="X113" s="394"/>
      <c r="Y113" s="401">
        <f t="shared" si="7"/>
        <v>107</v>
      </c>
      <c r="Z113" s="401">
        <f>IF(OR($AN$18=Devices[[#This Row],[Input Type]], 0=Devices[[#This Row],[Input Type]]),Devices[[#This Row],[Row Num]], " ")</f>
        <v>107</v>
      </c>
      <c r="AA113" s="401">
        <f>IF(OR($AN$19=Devices[[#This Row],[Input Type]], 0=Devices[[#This Row],[Input Type]]),Devices[[#This Row],[Row Num]], " ")</f>
        <v>107</v>
      </c>
      <c r="AB113" s="401">
        <f>IF(OR($AN$20=Devices[[#This Row],[Input Type]], 0=Devices[[#This Row],[Input Type]]),Devices[[#This Row],[Row Num]], " ")</f>
        <v>107</v>
      </c>
      <c r="AC113" s="401">
        <f>IF(0=Devices[[#This Row],[Input Type]], Devices[[#This Row],[Row Num]], " ")</f>
        <v>107</v>
      </c>
      <c r="AD113" s="401" t="str">
        <f>IFERROR(SMALL(Devices[Row Sel D], Devices[[#This Row],[Row Num]]), " ")</f>
        <v xml:space="preserve"> </v>
      </c>
      <c r="AE113" s="401" t="str">
        <f>IFERROR(SMALL(Devices[Row Sel IntRdiv], Devices[[#This Row],[Row Num]]), " ")</f>
        <v xml:space="preserve"> </v>
      </c>
      <c r="AF113" s="401" t="str">
        <f>IFERROR(SMALL(Devices[Row Sel SE], Devices[[#This Row],[Row Num]]), " ")</f>
        <v xml:space="preserve"> </v>
      </c>
      <c r="AG113" s="401" t="str">
        <f>IFERROR(SMALL(Devices[Row Sel N], Devices[[#This Row],[Row Num]]), " ")</f>
        <v xml:space="preserve"> </v>
      </c>
      <c r="AH113" s="401" t="str">
        <f>IFERROR(INDEX(Devices[Part], Devices[[#This Row],[Sel D]], 1), "")</f>
        <v/>
      </c>
      <c r="AI113" s="401" t="str">
        <f>IFERROR(INDEX(Devices[Part], Devices[[#This Row],[Sel IntRdiv]], 1), "")</f>
        <v/>
      </c>
      <c r="AJ113" s="401" t="str">
        <f>IFERROR(INDEX(Devices[Part], Devices[[#This Row],[Sel SE]], 1), "")</f>
        <v/>
      </c>
      <c r="AK113" s="401" t="str">
        <f>IFERROR(INDEX(Devices[Part], Devices[[#This Row],[Sel N]], 1), "")</f>
        <v/>
      </c>
      <c r="AM113" s="311"/>
    </row>
    <row r="114" spans="1:39" ht="15" customHeight="1">
      <c r="A114" s="326"/>
      <c r="B114" s="313"/>
      <c r="C114" s="431"/>
      <c r="D114" s="395"/>
      <c r="E114" s="395"/>
      <c r="F114" s="396"/>
      <c r="G114" s="396"/>
      <c r="H114" s="397"/>
      <c r="I114" s="397"/>
      <c r="J114" s="398"/>
      <c r="K114" s="398"/>
      <c r="L114" s="395"/>
      <c r="M114" s="395"/>
      <c r="N114" s="396"/>
      <c r="O114" s="396"/>
      <c r="P114" s="399"/>
      <c r="Q114" s="400"/>
      <c r="R114" s="400"/>
      <c r="S114" s="400"/>
      <c r="T114" s="392"/>
      <c r="U114" s="392"/>
      <c r="V114" s="393"/>
      <c r="W114" s="393"/>
      <c r="X114" s="394"/>
      <c r="Y114" s="401">
        <f>ROW()-6</f>
        <v>108</v>
      </c>
      <c r="Z114" s="401">
        <f>IF(OR($AN$18=Devices[[#This Row],[Input Type]], 0=Devices[[#This Row],[Input Type]]),Devices[[#This Row],[Row Num]], " ")</f>
        <v>108</v>
      </c>
      <c r="AA114" s="401">
        <f>IF(OR($AN$19=Devices[[#This Row],[Input Type]], 0=Devices[[#This Row],[Input Type]]),Devices[[#This Row],[Row Num]], " ")</f>
        <v>108</v>
      </c>
      <c r="AB114" s="401">
        <f>IF(OR($AN$20=Devices[[#This Row],[Input Type]], 0=Devices[[#This Row],[Input Type]]),Devices[[#This Row],[Row Num]], " ")</f>
        <v>108</v>
      </c>
      <c r="AC114" s="401">
        <f>IF(0=Devices[[#This Row],[Input Type]], Devices[[#This Row],[Row Num]], " ")</f>
        <v>108</v>
      </c>
      <c r="AD114" s="401" t="str">
        <f>IFERROR(SMALL(Devices[Row Sel D], Devices[[#This Row],[Row Num]]), " ")</f>
        <v xml:space="preserve"> </v>
      </c>
      <c r="AE114" s="401" t="str">
        <f>IFERROR(SMALL(Devices[Row Sel IntRdiv], Devices[[#This Row],[Row Num]]), " ")</f>
        <v xml:space="preserve"> </v>
      </c>
      <c r="AF114" s="401" t="str">
        <f>IFERROR(SMALL(Devices[Row Sel SE], Devices[[#This Row],[Row Num]]), " ")</f>
        <v xml:space="preserve"> </v>
      </c>
      <c r="AG114" s="401" t="str">
        <f>IFERROR(SMALL(Devices[Row Sel N], Devices[[#This Row],[Row Num]]), " ")</f>
        <v xml:space="preserve"> </v>
      </c>
      <c r="AH114" s="401" t="str">
        <f>IFERROR(INDEX(Devices[Part], Devices[[#This Row],[Sel D]], 1), "")</f>
        <v/>
      </c>
      <c r="AI114" s="401" t="str">
        <f>IFERROR(INDEX(Devices[Part], Devices[[#This Row],[Sel IntRdiv]], 1), "")</f>
        <v/>
      </c>
      <c r="AJ114" s="401" t="str">
        <f>IFERROR(INDEX(Devices[Part], Devices[[#This Row],[Sel SE]], 1), "")</f>
        <v/>
      </c>
      <c r="AK114" s="401" t="str">
        <f>IFERROR(INDEX(Devices[Part], Devices[[#This Row],[Sel N]], 1), "")</f>
        <v/>
      </c>
      <c r="AM114" s="311"/>
    </row>
    <row r="115" spans="1:39" ht="15" customHeight="1">
      <c r="A115" s="326"/>
      <c r="B115" s="313"/>
      <c r="C115" s="431"/>
      <c r="D115" s="395"/>
      <c r="E115" s="395"/>
      <c r="F115" s="396"/>
      <c r="G115" s="396"/>
      <c r="H115" s="397"/>
      <c r="I115" s="397"/>
      <c r="J115" s="398"/>
      <c r="K115" s="398"/>
      <c r="L115" s="395"/>
      <c r="M115" s="395"/>
      <c r="N115" s="396"/>
      <c r="O115" s="396"/>
      <c r="P115" s="399"/>
      <c r="Q115" s="400"/>
      <c r="R115" s="400"/>
      <c r="S115" s="400"/>
      <c r="T115" s="392"/>
      <c r="U115" s="392"/>
      <c r="V115" s="393"/>
      <c r="W115" s="393"/>
      <c r="X115" s="394"/>
      <c r="Y115" s="401">
        <f>ROW()-6</f>
        <v>109</v>
      </c>
      <c r="Z115" s="401">
        <f>IF(OR($AN$18=Devices[[#This Row],[Input Type]], 0=Devices[[#This Row],[Input Type]]),Devices[[#This Row],[Row Num]], " ")</f>
        <v>109</v>
      </c>
      <c r="AA115" s="401">
        <f>IF(OR($AN$19=Devices[[#This Row],[Input Type]], 0=Devices[[#This Row],[Input Type]]),Devices[[#This Row],[Row Num]], " ")</f>
        <v>109</v>
      </c>
      <c r="AB115" s="401">
        <f>IF(OR($AN$20=Devices[[#This Row],[Input Type]], 0=Devices[[#This Row],[Input Type]]),Devices[[#This Row],[Row Num]], " ")</f>
        <v>109</v>
      </c>
      <c r="AC115" s="401">
        <f>IF(0=Devices[[#This Row],[Input Type]], Devices[[#This Row],[Row Num]], " ")</f>
        <v>109</v>
      </c>
      <c r="AD115" s="401" t="str">
        <f>IFERROR(SMALL(Devices[Row Sel D], Devices[[#This Row],[Row Num]]), " ")</f>
        <v xml:space="preserve"> </v>
      </c>
      <c r="AE115" s="401" t="str">
        <f>IFERROR(SMALL(Devices[Row Sel IntRdiv], Devices[[#This Row],[Row Num]]), " ")</f>
        <v xml:space="preserve"> </v>
      </c>
      <c r="AF115" s="401" t="str">
        <f>IFERROR(SMALL(Devices[Row Sel SE], Devices[[#This Row],[Row Num]]), " ")</f>
        <v xml:space="preserve"> </v>
      </c>
      <c r="AG115" s="401" t="str">
        <f>IFERROR(SMALL(Devices[Row Sel N], Devices[[#This Row],[Row Num]]), " ")</f>
        <v xml:space="preserve"> </v>
      </c>
      <c r="AH115" s="401" t="str">
        <f>IFERROR(INDEX(Devices[Part], Devices[[#This Row],[Sel D]], 1), "")</f>
        <v/>
      </c>
      <c r="AI115" s="401" t="str">
        <f>IFERROR(INDEX(Devices[Part], Devices[[#This Row],[Sel IntRdiv]], 1), "")</f>
        <v/>
      </c>
      <c r="AJ115" s="401" t="str">
        <f>IFERROR(INDEX(Devices[Part], Devices[[#This Row],[Sel SE]], 1), "")</f>
        <v/>
      </c>
      <c r="AK115" s="401" t="str">
        <f>IFERROR(INDEX(Devices[Part], Devices[[#This Row],[Sel N]], 1), "")</f>
        <v/>
      </c>
      <c r="AM115" s="311"/>
    </row>
    <row r="116" spans="1:39" ht="15" customHeight="1">
      <c r="A116" s="326"/>
      <c r="B116" s="313"/>
      <c r="C116" s="431"/>
      <c r="D116" s="395"/>
      <c r="E116" s="395"/>
      <c r="F116" s="396"/>
      <c r="G116" s="396"/>
      <c r="H116" s="397"/>
      <c r="I116" s="397"/>
      <c r="J116" s="398"/>
      <c r="K116" s="398"/>
      <c r="L116" s="395"/>
      <c r="M116" s="395"/>
      <c r="N116" s="396"/>
      <c r="O116" s="396"/>
      <c r="P116" s="399"/>
      <c r="Q116" s="400"/>
      <c r="R116" s="400"/>
      <c r="S116" s="400"/>
      <c r="T116" s="392"/>
      <c r="U116" s="392"/>
      <c r="V116" s="393"/>
      <c r="W116" s="393"/>
      <c r="X116" s="394"/>
      <c r="Y116" s="401">
        <f>ROW()-6</f>
        <v>110</v>
      </c>
      <c r="Z116" s="401">
        <f>IF(OR($AN$18=Devices[[#This Row],[Input Type]], 0=Devices[[#This Row],[Input Type]]),Devices[[#This Row],[Row Num]], " ")</f>
        <v>110</v>
      </c>
      <c r="AA116" s="401">
        <f>IF(OR($AN$19=Devices[[#This Row],[Input Type]], 0=Devices[[#This Row],[Input Type]]),Devices[[#This Row],[Row Num]], " ")</f>
        <v>110</v>
      </c>
      <c r="AB116" s="401">
        <f>IF(OR($AN$20=Devices[[#This Row],[Input Type]], 0=Devices[[#This Row],[Input Type]]),Devices[[#This Row],[Row Num]], " ")</f>
        <v>110</v>
      </c>
      <c r="AC116" s="401">
        <f>IF(0=Devices[[#This Row],[Input Type]], Devices[[#This Row],[Row Num]], " ")</f>
        <v>110</v>
      </c>
      <c r="AD116" s="401" t="str">
        <f>IFERROR(SMALL(Devices[Row Sel D], Devices[[#This Row],[Row Num]]), " ")</f>
        <v xml:space="preserve"> </v>
      </c>
      <c r="AE116" s="401" t="str">
        <f>IFERROR(SMALL(Devices[Row Sel IntRdiv], Devices[[#This Row],[Row Num]]), " ")</f>
        <v xml:space="preserve"> </v>
      </c>
      <c r="AF116" s="401" t="str">
        <f>IFERROR(SMALL(Devices[Row Sel SE], Devices[[#This Row],[Row Num]]), " ")</f>
        <v xml:space="preserve"> </v>
      </c>
      <c r="AG116" s="401" t="str">
        <f>IFERROR(SMALL(Devices[Row Sel N], Devices[[#This Row],[Row Num]]), " ")</f>
        <v xml:space="preserve"> </v>
      </c>
      <c r="AH116" s="401" t="str">
        <f>IFERROR(INDEX(Devices[Part], Devices[[#This Row],[Sel D]], 1), "")</f>
        <v/>
      </c>
      <c r="AI116" s="401" t="str">
        <f>IFERROR(INDEX(Devices[Part], Devices[[#This Row],[Sel IntRdiv]], 1), "")</f>
        <v/>
      </c>
      <c r="AJ116" s="401" t="str">
        <f>IFERROR(INDEX(Devices[Part], Devices[[#This Row],[Sel SE]], 1), "")</f>
        <v/>
      </c>
      <c r="AK116" s="401" t="str">
        <f>IFERROR(INDEX(Devices[Part], Devices[[#This Row],[Sel N]], 1), "")</f>
        <v/>
      </c>
      <c r="AM116" s="311"/>
    </row>
    <row r="117" spans="1:39" ht="15" customHeight="1">
      <c r="A117" s="326"/>
      <c r="B117" s="313"/>
      <c r="C117" s="431"/>
      <c r="D117" s="395"/>
      <c r="E117" s="395"/>
      <c r="F117" s="396"/>
      <c r="G117" s="396"/>
      <c r="H117" s="397"/>
      <c r="I117" s="397"/>
      <c r="J117" s="398"/>
      <c r="K117" s="398"/>
      <c r="L117" s="395"/>
      <c r="M117" s="395"/>
      <c r="N117" s="396"/>
      <c r="O117" s="396"/>
      <c r="P117" s="399"/>
      <c r="Q117" s="400"/>
      <c r="R117" s="400"/>
      <c r="S117" s="400"/>
      <c r="T117" s="392"/>
      <c r="U117" s="392"/>
      <c r="V117" s="393"/>
      <c r="W117" s="393"/>
      <c r="X117" s="394"/>
      <c r="Y117" s="401">
        <f>ROW()-6</f>
        <v>111</v>
      </c>
      <c r="Z117" s="401">
        <f>IF(OR($AN$18=Devices[[#This Row],[Input Type]], 0=Devices[[#This Row],[Input Type]]),Devices[[#This Row],[Row Num]], " ")</f>
        <v>111</v>
      </c>
      <c r="AA117" s="401">
        <f>IF(OR($AN$19=Devices[[#This Row],[Input Type]], 0=Devices[[#This Row],[Input Type]]),Devices[[#This Row],[Row Num]], " ")</f>
        <v>111</v>
      </c>
      <c r="AB117" s="401">
        <f>IF(OR($AN$20=Devices[[#This Row],[Input Type]], 0=Devices[[#This Row],[Input Type]]),Devices[[#This Row],[Row Num]], " ")</f>
        <v>111</v>
      </c>
      <c r="AC117" s="401">
        <f>IF(0=Devices[[#This Row],[Input Type]], Devices[[#This Row],[Row Num]], " ")</f>
        <v>111</v>
      </c>
      <c r="AD117" s="401" t="str">
        <f>IFERROR(SMALL(Devices[Row Sel D], Devices[[#This Row],[Row Num]]), " ")</f>
        <v xml:space="preserve"> </v>
      </c>
      <c r="AE117" s="401" t="str">
        <f>IFERROR(SMALL(Devices[Row Sel IntRdiv], Devices[[#This Row],[Row Num]]), " ")</f>
        <v xml:space="preserve"> </v>
      </c>
      <c r="AF117" s="401" t="str">
        <f>IFERROR(SMALL(Devices[Row Sel SE], Devices[[#This Row],[Row Num]]), " ")</f>
        <v xml:space="preserve"> </v>
      </c>
      <c r="AG117" s="401" t="str">
        <f>IFERROR(SMALL(Devices[Row Sel N], Devices[[#This Row],[Row Num]]), " ")</f>
        <v xml:space="preserve"> </v>
      </c>
      <c r="AH117" s="401" t="str">
        <f>IFERROR(INDEX(Devices[Part], Devices[[#This Row],[Sel D]], 1), "")</f>
        <v/>
      </c>
      <c r="AI117" s="401" t="str">
        <f>IFERROR(INDEX(Devices[Part], Devices[[#This Row],[Sel IntRdiv]], 1), "")</f>
        <v/>
      </c>
      <c r="AJ117" s="401" t="str">
        <f>IFERROR(INDEX(Devices[Part], Devices[[#This Row],[Sel SE]], 1), "")</f>
        <v/>
      </c>
      <c r="AK117" s="401" t="str">
        <f>IFERROR(INDEX(Devices[Part], Devices[[#This Row],[Sel N]], 1), "")</f>
        <v/>
      </c>
    </row>
    <row r="118" spans="1:39" ht="15" customHeight="1">
      <c r="A118" s="326"/>
      <c r="B118" s="339"/>
      <c r="C118" s="431"/>
      <c r="D118" s="403"/>
      <c r="E118" s="403"/>
      <c r="F118" s="404"/>
      <c r="G118" s="404"/>
      <c r="H118" s="405"/>
      <c r="I118" s="405"/>
      <c r="J118" s="406"/>
      <c r="K118" s="406"/>
      <c r="L118" s="403"/>
      <c r="M118" s="403"/>
      <c r="N118" s="404"/>
      <c r="O118" s="404"/>
      <c r="P118" s="407"/>
      <c r="Q118" s="408"/>
      <c r="R118" s="408"/>
      <c r="S118" s="408"/>
      <c r="T118" s="409"/>
      <c r="U118" s="409"/>
      <c r="V118" s="410"/>
      <c r="W118" s="410"/>
      <c r="X118" s="411"/>
      <c r="Y118" s="401">
        <f t="shared" si="7"/>
        <v>112</v>
      </c>
      <c r="Z118" s="401">
        <f>IF(OR($AN$18=Devices[[#This Row],[Input Type]], 0=Devices[[#This Row],[Input Type]]),Devices[[#This Row],[Row Num]], " ")</f>
        <v>112</v>
      </c>
      <c r="AA118" s="401">
        <f>IF(OR($AN$19=Devices[[#This Row],[Input Type]], 0=Devices[[#This Row],[Input Type]]),Devices[[#This Row],[Row Num]], " ")</f>
        <v>112</v>
      </c>
      <c r="AB118" s="401">
        <f>IF(OR($AN$20=Devices[[#This Row],[Input Type]], 0=Devices[[#This Row],[Input Type]]),Devices[[#This Row],[Row Num]], " ")</f>
        <v>112</v>
      </c>
      <c r="AC118" s="401">
        <f>IF(0=Devices[[#This Row],[Input Type]], Devices[[#This Row],[Row Num]], " ")</f>
        <v>112</v>
      </c>
      <c r="AD118" s="401" t="str">
        <f>IFERROR(SMALL(Devices[Row Sel D], Devices[[#This Row],[Row Num]]), " ")</f>
        <v xml:space="preserve"> </v>
      </c>
      <c r="AE118" s="401" t="str">
        <f>IFERROR(SMALL(Devices[Row Sel IntRdiv], Devices[[#This Row],[Row Num]]), " ")</f>
        <v xml:space="preserve"> </v>
      </c>
      <c r="AF118" s="401" t="str">
        <f>IFERROR(SMALL(Devices[Row Sel SE], Devices[[#This Row],[Row Num]]), " ")</f>
        <v xml:space="preserve"> </v>
      </c>
      <c r="AG118" s="401" t="str">
        <f>IFERROR(SMALL(Devices[Row Sel N], Devices[[#This Row],[Row Num]]), " ")</f>
        <v xml:space="preserve"> </v>
      </c>
      <c r="AH118" s="401" t="str">
        <f>IFERROR(INDEX(Devices[Part], Devices[[#This Row],[Sel D]], 1), "")</f>
        <v/>
      </c>
      <c r="AI118" s="401" t="str">
        <f>IFERROR(INDEX(Devices[Part], Devices[[#This Row],[Sel IntRdiv]], 1), "")</f>
        <v/>
      </c>
      <c r="AJ118" s="401" t="str">
        <f>IFERROR(INDEX(Devices[Part], Devices[[#This Row],[Sel SE]], 1), "")</f>
        <v/>
      </c>
      <c r="AK118" s="401" t="str">
        <f>IFERROR(INDEX(Devices[Part], Devices[[#This Row],[Sel N]], 1), "")</f>
        <v/>
      </c>
    </row>
    <row r="119" spans="1:39" ht="15" customHeight="1">
      <c r="A119" s="326"/>
      <c r="B119" s="339"/>
      <c r="C119" s="431"/>
      <c r="D119" s="403"/>
      <c r="E119" s="403"/>
      <c r="F119" s="404"/>
      <c r="G119" s="404"/>
      <c r="H119" s="405"/>
      <c r="I119" s="405"/>
      <c r="J119" s="406"/>
      <c r="K119" s="406"/>
      <c r="L119" s="403"/>
      <c r="M119" s="403"/>
      <c r="N119" s="404"/>
      <c r="O119" s="404"/>
      <c r="P119" s="407"/>
      <c r="Q119" s="408"/>
      <c r="R119" s="408"/>
      <c r="S119" s="408"/>
      <c r="T119" s="409"/>
      <c r="U119" s="409"/>
      <c r="V119" s="410"/>
      <c r="W119" s="410"/>
      <c r="X119" s="411"/>
      <c r="Y119" s="401">
        <f t="shared" si="7"/>
        <v>113</v>
      </c>
      <c r="Z119" s="401">
        <f>IF(OR($AN$18=Devices[[#This Row],[Input Type]], 0=Devices[[#This Row],[Input Type]]),Devices[[#This Row],[Row Num]], " ")</f>
        <v>113</v>
      </c>
      <c r="AA119" s="401">
        <f>IF(OR($AN$19=Devices[[#This Row],[Input Type]], 0=Devices[[#This Row],[Input Type]]),Devices[[#This Row],[Row Num]], " ")</f>
        <v>113</v>
      </c>
      <c r="AB119" s="401">
        <f>IF(OR($AN$20=Devices[[#This Row],[Input Type]], 0=Devices[[#This Row],[Input Type]]),Devices[[#This Row],[Row Num]], " ")</f>
        <v>113</v>
      </c>
      <c r="AC119" s="401">
        <f>IF(0=Devices[[#This Row],[Input Type]], Devices[[#This Row],[Row Num]], " ")</f>
        <v>113</v>
      </c>
      <c r="AD119" s="401" t="str">
        <f>IFERROR(SMALL(Devices[Row Sel D], Devices[[#This Row],[Row Num]]), " ")</f>
        <v xml:space="preserve"> </v>
      </c>
      <c r="AE119" s="401" t="str">
        <f>IFERROR(SMALL(Devices[Row Sel IntRdiv], Devices[[#This Row],[Row Num]]), " ")</f>
        <v xml:space="preserve"> </v>
      </c>
      <c r="AF119" s="401" t="str">
        <f>IFERROR(SMALL(Devices[Row Sel SE], Devices[[#This Row],[Row Num]]), " ")</f>
        <v xml:space="preserve"> </v>
      </c>
      <c r="AG119" s="401" t="str">
        <f>IFERROR(SMALL(Devices[Row Sel N], Devices[[#This Row],[Row Num]]), " ")</f>
        <v xml:space="preserve"> </v>
      </c>
      <c r="AH119" s="401" t="str">
        <f>IFERROR(INDEX(Devices[Part], Devices[[#This Row],[Sel D]], 1), "")</f>
        <v/>
      </c>
      <c r="AI119" s="401" t="str">
        <f>IFERROR(INDEX(Devices[Part], Devices[[#This Row],[Sel IntRdiv]], 1), "")</f>
        <v/>
      </c>
      <c r="AJ119" s="401" t="str">
        <f>IFERROR(INDEX(Devices[Part], Devices[[#This Row],[Sel SE]], 1), "")</f>
        <v/>
      </c>
      <c r="AK119" s="401" t="str">
        <f>IFERROR(INDEX(Devices[Part], Devices[[#This Row],[Sel N]], 1), "")</f>
        <v/>
      </c>
      <c r="AM119" s="311"/>
    </row>
    <row r="120" spans="1:39" ht="15" customHeight="1">
      <c r="A120" s="326"/>
      <c r="B120" s="339"/>
      <c r="C120" s="431"/>
      <c r="D120" s="403"/>
      <c r="E120" s="403"/>
      <c r="F120" s="404"/>
      <c r="G120" s="404"/>
      <c r="H120" s="405"/>
      <c r="I120" s="405"/>
      <c r="J120" s="406"/>
      <c r="K120" s="406"/>
      <c r="L120" s="403"/>
      <c r="M120" s="403"/>
      <c r="N120" s="404"/>
      <c r="O120" s="404"/>
      <c r="P120" s="407"/>
      <c r="Q120" s="412"/>
      <c r="R120" s="412"/>
      <c r="S120" s="412"/>
      <c r="T120" s="409"/>
      <c r="U120" s="409"/>
      <c r="V120" s="413"/>
      <c r="W120" s="413"/>
      <c r="X120" s="411"/>
      <c r="Y120" s="401">
        <f t="shared" si="7"/>
        <v>114</v>
      </c>
      <c r="Z120" s="401">
        <f>IF(OR($AN$18=Devices[[#This Row],[Input Type]], 0=Devices[[#This Row],[Input Type]]),Devices[[#This Row],[Row Num]], " ")</f>
        <v>114</v>
      </c>
      <c r="AA120" s="401">
        <f>IF(OR($AN$19=Devices[[#This Row],[Input Type]], 0=Devices[[#This Row],[Input Type]]),Devices[[#This Row],[Row Num]], " ")</f>
        <v>114</v>
      </c>
      <c r="AB120" s="401">
        <f>IF(OR($AN$20=Devices[[#This Row],[Input Type]], 0=Devices[[#This Row],[Input Type]]),Devices[[#This Row],[Row Num]], " ")</f>
        <v>114</v>
      </c>
      <c r="AC120" s="401">
        <f>IF(0=Devices[[#This Row],[Input Type]], Devices[[#This Row],[Row Num]], " ")</f>
        <v>114</v>
      </c>
      <c r="AD120" s="401" t="str">
        <f>IFERROR(SMALL(Devices[Row Sel D], Devices[[#This Row],[Row Num]]), " ")</f>
        <v xml:space="preserve"> </v>
      </c>
      <c r="AE120" s="401" t="str">
        <f>IFERROR(SMALL(Devices[Row Sel IntRdiv], Devices[[#This Row],[Row Num]]), " ")</f>
        <v xml:space="preserve"> </v>
      </c>
      <c r="AF120" s="401" t="str">
        <f>IFERROR(SMALL(Devices[Row Sel SE], Devices[[#This Row],[Row Num]]), " ")</f>
        <v xml:space="preserve"> </v>
      </c>
      <c r="AG120" s="401" t="str">
        <f>IFERROR(SMALL(Devices[Row Sel N], Devices[[#This Row],[Row Num]]), " ")</f>
        <v xml:space="preserve"> </v>
      </c>
      <c r="AH120" s="401" t="str">
        <f>IFERROR(INDEX(Devices[Part], Devices[[#This Row],[Sel D]], 1), "")</f>
        <v/>
      </c>
      <c r="AI120" s="401" t="str">
        <f>IFERROR(INDEX(Devices[Part], Devices[[#This Row],[Sel IntRdiv]], 1), "")</f>
        <v/>
      </c>
      <c r="AJ120" s="401" t="str">
        <f>IFERROR(INDEX(Devices[Part], Devices[[#This Row],[Sel SE]], 1), "")</f>
        <v/>
      </c>
      <c r="AK120" s="401" t="str">
        <f>IFERROR(INDEX(Devices[Part], Devices[[#This Row],[Sel N]], 1), "")</f>
        <v/>
      </c>
    </row>
    <row r="121" spans="1:39" ht="15" customHeight="1">
      <c r="A121" s="326"/>
      <c r="B121" s="339"/>
      <c r="C121" s="431"/>
      <c r="D121" s="403"/>
      <c r="E121" s="403"/>
      <c r="F121" s="404"/>
      <c r="G121" s="404"/>
      <c r="H121" s="405"/>
      <c r="I121" s="405"/>
      <c r="J121" s="406"/>
      <c r="K121" s="406"/>
      <c r="L121" s="403"/>
      <c r="M121" s="403"/>
      <c r="N121" s="404"/>
      <c r="O121" s="404"/>
      <c r="P121" s="407"/>
      <c r="Q121" s="412"/>
      <c r="R121" s="412"/>
      <c r="S121" s="412"/>
      <c r="T121" s="409"/>
      <c r="U121" s="409"/>
      <c r="V121" s="413"/>
      <c r="W121" s="413"/>
      <c r="X121" s="411"/>
      <c r="Y121" s="401">
        <f t="shared" si="7"/>
        <v>115</v>
      </c>
      <c r="Z121" s="401">
        <f>IF(OR($AN$18=Devices[[#This Row],[Input Type]], 0=Devices[[#This Row],[Input Type]]),Devices[[#This Row],[Row Num]], " ")</f>
        <v>115</v>
      </c>
      <c r="AA121" s="401">
        <f>IF(OR($AN$19=Devices[[#This Row],[Input Type]], 0=Devices[[#This Row],[Input Type]]),Devices[[#This Row],[Row Num]], " ")</f>
        <v>115</v>
      </c>
      <c r="AB121" s="401">
        <f>IF(OR($AN$20=Devices[[#This Row],[Input Type]], 0=Devices[[#This Row],[Input Type]]),Devices[[#This Row],[Row Num]], " ")</f>
        <v>115</v>
      </c>
      <c r="AC121" s="401">
        <f>IF(0=Devices[[#This Row],[Input Type]], Devices[[#This Row],[Row Num]], " ")</f>
        <v>115</v>
      </c>
      <c r="AD121" s="401" t="str">
        <f>IFERROR(SMALL(Devices[Row Sel D], Devices[[#This Row],[Row Num]]), " ")</f>
        <v xml:space="preserve"> </v>
      </c>
      <c r="AE121" s="401" t="str">
        <f>IFERROR(SMALL(Devices[Row Sel IntRdiv], Devices[[#This Row],[Row Num]]), " ")</f>
        <v xml:space="preserve"> </v>
      </c>
      <c r="AF121" s="401" t="str">
        <f>IFERROR(SMALL(Devices[Row Sel SE], Devices[[#This Row],[Row Num]]), " ")</f>
        <v xml:space="preserve"> </v>
      </c>
      <c r="AG121" s="401" t="str">
        <f>IFERROR(SMALL(Devices[Row Sel N], Devices[[#This Row],[Row Num]]), " ")</f>
        <v xml:space="preserve"> </v>
      </c>
      <c r="AH121" s="401" t="str">
        <f>IFERROR(INDEX(Devices[Part], Devices[[#This Row],[Sel D]], 1), "")</f>
        <v/>
      </c>
      <c r="AI121" s="401" t="str">
        <f>IFERROR(INDEX(Devices[Part], Devices[[#This Row],[Sel IntRdiv]], 1), "")</f>
        <v/>
      </c>
      <c r="AJ121" s="401" t="str">
        <f>IFERROR(INDEX(Devices[Part], Devices[[#This Row],[Sel SE]], 1), "")</f>
        <v/>
      </c>
      <c r="AK121" s="401" t="str">
        <f>IFERROR(INDEX(Devices[Part], Devices[[#This Row],[Sel N]], 1), "")</f>
        <v/>
      </c>
    </row>
    <row r="122" spans="1:39" ht="15" customHeight="1">
      <c r="A122" s="326"/>
      <c r="B122" s="339"/>
      <c r="C122" s="431"/>
      <c r="D122" s="403"/>
      <c r="E122" s="403"/>
      <c r="F122" s="404"/>
      <c r="G122" s="404"/>
      <c r="H122" s="405"/>
      <c r="I122" s="405"/>
      <c r="J122" s="406"/>
      <c r="K122" s="406"/>
      <c r="L122" s="403"/>
      <c r="M122" s="403"/>
      <c r="N122" s="404"/>
      <c r="O122" s="404"/>
      <c r="P122" s="407"/>
      <c r="Q122" s="412"/>
      <c r="R122" s="412"/>
      <c r="S122" s="412"/>
      <c r="T122" s="409"/>
      <c r="U122" s="409"/>
      <c r="V122" s="413"/>
      <c r="W122" s="413"/>
      <c r="X122" s="411"/>
      <c r="Y122" s="401">
        <f t="shared" si="7"/>
        <v>116</v>
      </c>
      <c r="Z122" s="401">
        <f>IF(OR($AN$18=Devices[[#This Row],[Input Type]], 0=Devices[[#This Row],[Input Type]]),Devices[[#This Row],[Row Num]], " ")</f>
        <v>116</v>
      </c>
      <c r="AA122" s="401">
        <f>IF(OR($AN$19=Devices[[#This Row],[Input Type]], 0=Devices[[#This Row],[Input Type]]),Devices[[#This Row],[Row Num]], " ")</f>
        <v>116</v>
      </c>
      <c r="AB122" s="401">
        <f>IF(OR($AN$20=Devices[[#This Row],[Input Type]], 0=Devices[[#This Row],[Input Type]]),Devices[[#This Row],[Row Num]], " ")</f>
        <v>116</v>
      </c>
      <c r="AC122" s="401">
        <f>IF(0=Devices[[#This Row],[Input Type]], Devices[[#This Row],[Row Num]], " ")</f>
        <v>116</v>
      </c>
      <c r="AD122" s="401" t="str">
        <f>IFERROR(SMALL(Devices[Row Sel D], Devices[[#This Row],[Row Num]]), " ")</f>
        <v xml:space="preserve"> </v>
      </c>
      <c r="AE122" s="401" t="str">
        <f>IFERROR(SMALL(Devices[Row Sel IntRdiv], Devices[[#This Row],[Row Num]]), " ")</f>
        <v xml:space="preserve"> </v>
      </c>
      <c r="AF122" s="401" t="str">
        <f>IFERROR(SMALL(Devices[Row Sel SE], Devices[[#This Row],[Row Num]]), " ")</f>
        <v xml:space="preserve"> </v>
      </c>
      <c r="AG122" s="401" t="str">
        <f>IFERROR(SMALL(Devices[Row Sel N], Devices[[#This Row],[Row Num]]), " ")</f>
        <v xml:space="preserve"> </v>
      </c>
      <c r="AH122" s="401" t="str">
        <f>IFERROR(INDEX(Devices[Part], Devices[[#This Row],[Sel D]], 1), "")</f>
        <v/>
      </c>
      <c r="AI122" s="401" t="str">
        <f>IFERROR(INDEX(Devices[Part], Devices[[#This Row],[Sel IntRdiv]], 1), "")</f>
        <v/>
      </c>
      <c r="AJ122" s="401" t="str">
        <f>IFERROR(INDEX(Devices[Part], Devices[[#This Row],[Sel SE]], 1), "")</f>
        <v/>
      </c>
      <c r="AK122" s="401" t="str">
        <f>IFERROR(INDEX(Devices[Part], Devices[[#This Row],[Sel N]], 1), "")</f>
        <v/>
      </c>
      <c r="AM122" s="311"/>
    </row>
    <row r="123" spans="1:39" ht="15" customHeight="1">
      <c r="A123" s="326"/>
      <c r="B123" s="339"/>
      <c r="C123" s="431"/>
      <c r="D123" s="403"/>
      <c r="E123" s="403"/>
      <c r="F123" s="404"/>
      <c r="G123" s="404"/>
      <c r="H123" s="405"/>
      <c r="I123" s="405"/>
      <c r="J123" s="406"/>
      <c r="K123" s="406"/>
      <c r="L123" s="403"/>
      <c r="M123" s="403"/>
      <c r="N123" s="404"/>
      <c r="O123" s="404"/>
      <c r="P123" s="407"/>
      <c r="Q123" s="408"/>
      <c r="R123" s="408"/>
      <c r="S123" s="408"/>
      <c r="T123" s="409"/>
      <c r="U123" s="409"/>
      <c r="V123" s="410"/>
      <c r="W123" s="410"/>
      <c r="X123" s="411"/>
      <c r="Y123" s="401">
        <f t="shared" si="7"/>
        <v>117</v>
      </c>
      <c r="Z123" s="401">
        <f>IF(OR($AN$18=Devices[[#This Row],[Input Type]], 0=Devices[[#This Row],[Input Type]]),Devices[[#This Row],[Row Num]], " ")</f>
        <v>117</v>
      </c>
      <c r="AA123" s="401">
        <f>IF(OR($AN$19=Devices[[#This Row],[Input Type]], 0=Devices[[#This Row],[Input Type]]),Devices[[#This Row],[Row Num]], " ")</f>
        <v>117</v>
      </c>
      <c r="AB123" s="401">
        <f>IF(OR($AN$20=Devices[[#This Row],[Input Type]], 0=Devices[[#This Row],[Input Type]]),Devices[[#This Row],[Row Num]], " ")</f>
        <v>117</v>
      </c>
      <c r="AC123" s="401">
        <f>IF(0=Devices[[#This Row],[Input Type]], Devices[[#This Row],[Row Num]], " ")</f>
        <v>117</v>
      </c>
      <c r="AD123" s="401" t="str">
        <f>IFERROR(SMALL(Devices[Row Sel D], Devices[[#This Row],[Row Num]]), " ")</f>
        <v xml:space="preserve"> </v>
      </c>
      <c r="AE123" s="401" t="str">
        <f>IFERROR(SMALL(Devices[Row Sel IntRdiv], Devices[[#This Row],[Row Num]]), " ")</f>
        <v xml:space="preserve"> </v>
      </c>
      <c r="AF123" s="401" t="str">
        <f>IFERROR(SMALL(Devices[Row Sel SE], Devices[[#This Row],[Row Num]]), " ")</f>
        <v xml:space="preserve"> </v>
      </c>
      <c r="AG123" s="401" t="str">
        <f>IFERROR(SMALL(Devices[Row Sel N], Devices[[#This Row],[Row Num]]), " ")</f>
        <v xml:space="preserve"> </v>
      </c>
      <c r="AH123" s="401" t="str">
        <f>IFERROR(INDEX(Devices[Part], Devices[[#This Row],[Sel D]], 1), "")</f>
        <v/>
      </c>
      <c r="AI123" s="401" t="str">
        <f>IFERROR(INDEX(Devices[Part], Devices[[#This Row],[Sel IntRdiv]], 1), "")</f>
        <v/>
      </c>
      <c r="AJ123" s="401" t="str">
        <f>IFERROR(INDEX(Devices[Part], Devices[[#This Row],[Sel SE]], 1), "")</f>
        <v/>
      </c>
      <c r="AK123" s="401" t="str">
        <f>IFERROR(INDEX(Devices[Part], Devices[[#This Row],[Sel N]], 1), "")</f>
        <v/>
      </c>
    </row>
    <row r="124" spans="1:39" ht="15" customHeight="1">
      <c r="A124" s="326"/>
      <c r="B124" s="339"/>
      <c r="C124" s="431"/>
      <c r="D124" s="403"/>
      <c r="E124" s="403"/>
      <c r="F124" s="404"/>
      <c r="G124" s="404"/>
      <c r="H124" s="405"/>
      <c r="I124" s="405"/>
      <c r="J124" s="406"/>
      <c r="K124" s="406"/>
      <c r="L124" s="403"/>
      <c r="M124" s="403"/>
      <c r="N124" s="404"/>
      <c r="O124" s="404"/>
      <c r="P124" s="407"/>
      <c r="Q124" s="408"/>
      <c r="R124" s="408"/>
      <c r="S124" s="408"/>
      <c r="T124" s="409"/>
      <c r="U124" s="409"/>
      <c r="V124" s="410"/>
      <c r="W124" s="410"/>
      <c r="X124" s="411"/>
      <c r="Y124" s="309">
        <f t="shared" si="0"/>
        <v>118</v>
      </c>
      <c r="Z124" s="309">
        <f>IF(OR($AN$18=Devices[[#This Row],[Input Type]], 0=Devices[[#This Row],[Input Type]]),Devices[[#This Row],[Row Num]], " ")</f>
        <v>118</v>
      </c>
      <c r="AA124" s="309">
        <f>IF(OR($AN$19=Devices[[#This Row],[Input Type]], 0=Devices[[#This Row],[Input Type]]),Devices[[#This Row],[Row Num]], " ")</f>
        <v>118</v>
      </c>
      <c r="AB124" s="309">
        <f>IF(OR($AN$20=Devices[[#This Row],[Input Type]], 0=Devices[[#This Row],[Input Type]]),Devices[[#This Row],[Row Num]], " ")</f>
        <v>118</v>
      </c>
      <c r="AC124" s="309">
        <f>IF(0=Devices[[#This Row],[Input Type]], Devices[[#This Row],[Row Num]], " ")</f>
        <v>118</v>
      </c>
      <c r="AD124" s="310" t="str">
        <f>IFERROR(SMALL(Devices[Row Sel D], Devices[[#This Row],[Row Num]]), " ")</f>
        <v xml:space="preserve"> </v>
      </c>
      <c r="AE124" s="310" t="str">
        <f>IFERROR(SMALL(Devices[Row Sel IntRdiv], Devices[[#This Row],[Row Num]]), " ")</f>
        <v xml:space="preserve"> </v>
      </c>
      <c r="AF124" s="310" t="str">
        <f>IFERROR(SMALL(Devices[Row Sel SE], Devices[[#This Row],[Row Num]]), " ")</f>
        <v xml:space="preserve"> </v>
      </c>
      <c r="AG124" s="310" t="str">
        <f>IFERROR(SMALL(Devices[Row Sel N], Devices[[#This Row],[Row Num]]), " ")</f>
        <v xml:space="preserve"> </v>
      </c>
      <c r="AH124" s="310"/>
      <c r="AI124" s="310" t="str">
        <f>IFERROR(INDEX(Devices[Part], Devices[[#This Row],[Sel IntRdiv]], 1), "")</f>
        <v/>
      </c>
      <c r="AJ124" s="310" t="str">
        <f>IFERROR(INDEX(Devices[Part], Devices[[#This Row],[Sel SE]], 1), "")</f>
        <v/>
      </c>
      <c r="AK124" s="310" t="str">
        <f>IFERROR(INDEX(Devices[Part], Devices[[#This Row],[Sel N]], 1), "")</f>
        <v/>
      </c>
    </row>
    <row r="125" spans="1:39" ht="15" customHeight="1">
      <c r="A125" s="326"/>
      <c r="B125" s="339"/>
      <c r="C125" s="431"/>
      <c r="D125" s="403"/>
      <c r="E125" s="403"/>
      <c r="F125" s="404"/>
      <c r="G125" s="404"/>
      <c r="H125" s="405"/>
      <c r="I125" s="405"/>
      <c r="J125" s="406"/>
      <c r="K125" s="406"/>
      <c r="L125" s="403"/>
      <c r="M125" s="403"/>
      <c r="N125" s="404"/>
      <c r="O125" s="404"/>
      <c r="P125" s="407"/>
      <c r="Q125" s="408"/>
      <c r="R125" s="408"/>
      <c r="S125" s="408"/>
      <c r="T125" s="409"/>
      <c r="U125" s="409"/>
      <c r="V125" s="410"/>
      <c r="W125" s="410"/>
      <c r="X125" s="411"/>
      <c r="Y125" s="309">
        <f t="shared" si="0"/>
        <v>119</v>
      </c>
      <c r="Z125" s="309">
        <f>IF(OR($AN$18=Devices[[#This Row],[Input Type]], 0=Devices[[#This Row],[Input Type]]),Devices[[#This Row],[Row Num]], " ")</f>
        <v>119</v>
      </c>
      <c r="AA125" s="309">
        <f>IF(OR($AN$19=Devices[[#This Row],[Input Type]], 0=Devices[[#This Row],[Input Type]]),Devices[[#This Row],[Row Num]], " ")</f>
        <v>119</v>
      </c>
      <c r="AB125" s="309">
        <f>IF(OR($AN$20=Devices[[#This Row],[Input Type]], 0=Devices[[#This Row],[Input Type]]),Devices[[#This Row],[Row Num]], " ")</f>
        <v>119</v>
      </c>
      <c r="AC125" s="309">
        <f>IF(0=Devices[[#This Row],[Input Type]], Devices[[#This Row],[Row Num]], " ")</f>
        <v>119</v>
      </c>
      <c r="AD125" s="310" t="str">
        <f>IFERROR(SMALL(Devices[Row Sel D], Devices[[#This Row],[Row Num]]), " ")</f>
        <v xml:space="preserve"> </v>
      </c>
      <c r="AE125" s="310" t="str">
        <f>IFERROR(SMALL(Devices[Row Sel IntRdiv], Devices[[#This Row],[Row Num]]), " ")</f>
        <v xml:space="preserve"> </v>
      </c>
      <c r="AF125" s="310" t="str">
        <f>IFERROR(SMALL(Devices[Row Sel SE], Devices[[#This Row],[Row Num]]), " ")</f>
        <v xml:space="preserve"> </v>
      </c>
      <c r="AG125" s="310" t="str">
        <f>IFERROR(SMALL(Devices[Row Sel N], Devices[[#This Row],[Row Num]]), " ")</f>
        <v xml:space="preserve"> </v>
      </c>
      <c r="AH125" s="310"/>
      <c r="AI125" s="310" t="str">
        <f>IFERROR(INDEX(Devices[Part], Devices[[#This Row],[Sel IntRdiv]], 1), "")</f>
        <v/>
      </c>
      <c r="AJ125" s="310" t="str">
        <f>IFERROR(INDEX(Devices[Part], Devices[[#This Row],[Sel SE]], 1), "")</f>
        <v/>
      </c>
      <c r="AK125" s="310" t="str">
        <f>IFERROR(INDEX(Devices[Part], Devices[[#This Row],[Sel N]], 1), "")</f>
        <v/>
      </c>
    </row>
    <row r="126" spans="1:39" ht="15" customHeight="1">
      <c r="A126" s="326"/>
      <c r="B126" s="339"/>
      <c r="C126" s="431"/>
      <c r="D126" s="403"/>
      <c r="E126" s="403"/>
      <c r="F126" s="404"/>
      <c r="G126" s="404"/>
      <c r="H126" s="405"/>
      <c r="I126" s="405"/>
      <c r="J126" s="406"/>
      <c r="K126" s="406"/>
      <c r="L126" s="403"/>
      <c r="M126" s="403"/>
      <c r="N126" s="404"/>
      <c r="O126" s="404"/>
      <c r="P126" s="407"/>
      <c r="Q126" s="412"/>
      <c r="R126" s="412"/>
      <c r="S126" s="412"/>
      <c r="T126" s="409"/>
      <c r="U126" s="409"/>
      <c r="V126" s="413"/>
      <c r="W126" s="413"/>
      <c r="X126" s="411"/>
      <c r="Y126" s="309">
        <f t="shared" si="0"/>
        <v>120</v>
      </c>
      <c r="Z126" s="309">
        <f>IF(OR($AN$18=Devices[[#This Row],[Input Type]], 0=Devices[[#This Row],[Input Type]]),Devices[[#This Row],[Row Num]], " ")</f>
        <v>120</v>
      </c>
      <c r="AA126" s="309">
        <f>IF(OR($AN$19=Devices[[#This Row],[Input Type]], 0=Devices[[#This Row],[Input Type]]),Devices[[#This Row],[Row Num]], " ")</f>
        <v>120</v>
      </c>
      <c r="AB126" s="309">
        <f>IF(OR($AN$20=Devices[[#This Row],[Input Type]], 0=Devices[[#This Row],[Input Type]]),Devices[[#This Row],[Row Num]], " ")</f>
        <v>120</v>
      </c>
      <c r="AC126" s="309">
        <f>IF(0=Devices[[#This Row],[Input Type]], Devices[[#This Row],[Row Num]], " ")</f>
        <v>120</v>
      </c>
      <c r="AD126" s="310" t="str">
        <f>IFERROR(SMALL(Devices[Row Sel D], Devices[[#This Row],[Row Num]]), " ")</f>
        <v xml:space="preserve"> </v>
      </c>
      <c r="AE126" s="310" t="str">
        <f>IFERROR(SMALL(Devices[Row Sel IntRdiv], Devices[[#This Row],[Row Num]]), " ")</f>
        <v xml:space="preserve"> </v>
      </c>
      <c r="AF126" s="310" t="str">
        <f>IFERROR(SMALL(Devices[Row Sel SE], Devices[[#This Row],[Row Num]]), " ")</f>
        <v xml:space="preserve"> </v>
      </c>
      <c r="AG126" s="310" t="str">
        <f>IFERROR(SMALL(Devices[Row Sel N], Devices[[#This Row],[Row Num]]), " ")</f>
        <v xml:space="preserve"> </v>
      </c>
      <c r="AH126" s="310"/>
      <c r="AI126" s="310" t="str">
        <f>IFERROR(INDEX(Devices[Part], Devices[[#This Row],[Sel IntRdiv]], 1), "")</f>
        <v/>
      </c>
      <c r="AJ126" s="310" t="str">
        <f>IFERROR(INDEX(Devices[Part], Devices[[#This Row],[Sel SE]], 1), "")</f>
        <v/>
      </c>
      <c r="AK126" s="310" t="str">
        <f>IFERROR(INDEX(Devices[Part], Devices[[#This Row],[Sel N]], 1), "")</f>
        <v/>
      </c>
      <c r="AM126" s="311"/>
    </row>
    <row r="127" spans="1:39" ht="15" customHeight="1">
      <c r="A127" s="349"/>
      <c r="B127" s="305"/>
      <c r="C127" s="431"/>
      <c r="D127" s="395"/>
      <c r="E127" s="395"/>
      <c r="F127" s="396"/>
      <c r="G127" s="396"/>
      <c r="H127" s="397"/>
      <c r="I127" s="397"/>
      <c r="J127" s="398"/>
      <c r="K127" s="398"/>
      <c r="L127" s="395"/>
      <c r="M127" s="395"/>
      <c r="N127" s="396"/>
      <c r="O127" s="396"/>
      <c r="P127" s="399"/>
      <c r="Q127" s="400"/>
      <c r="R127" s="402"/>
      <c r="S127" s="402"/>
      <c r="T127" s="392"/>
      <c r="U127" s="392"/>
      <c r="V127" s="392"/>
      <c r="W127" s="393"/>
      <c r="X127" s="394"/>
      <c r="Y127" s="309">
        <f t="shared" si="0"/>
        <v>121</v>
      </c>
      <c r="Z127" s="309">
        <f>IF(OR($AN$18=Devices[[#This Row],[Input Type]], 0=Devices[[#This Row],[Input Type]]),Devices[[#This Row],[Row Num]], " ")</f>
        <v>121</v>
      </c>
      <c r="AA127" s="309">
        <f>IF(OR($AN$19=Devices[[#This Row],[Input Type]], 0=Devices[[#This Row],[Input Type]]),Devices[[#This Row],[Row Num]], " ")</f>
        <v>121</v>
      </c>
      <c r="AB127" s="309">
        <f>IF(OR($AN$20=Devices[[#This Row],[Input Type]], 0=Devices[[#This Row],[Input Type]]),Devices[[#This Row],[Row Num]], " ")</f>
        <v>121</v>
      </c>
      <c r="AC127" s="309">
        <f>IF(0=Devices[[#This Row],[Input Type]], Devices[[#This Row],[Row Num]], " ")</f>
        <v>121</v>
      </c>
      <c r="AD127" s="310" t="str">
        <f>IFERROR(SMALL(Devices[Row Sel D], Devices[[#This Row],[Row Num]]), " ")</f>
        <v xml:space="preserve"> </v>
      </c>
      <c r="AE127" s="310" t="str">
        <f>IFERROR(SMALL(Devices[Row Sel IntRdiv], Devices[[#This Row],[Row Num]]), " ")</f>
        <v xml:space="preserve"> </v>
      </c>
      <c r="AF127" s="310" t="str">
        <f>IFERROR(SMALL(Devices[Row Sel SE], Devices[[#This Row],[Row Num]]), " ")</f>
        <v xml:space="preserve"> </v>
      </c>
      <c r="AG127" s="310" t="str">
        <f>IFERROR(SMALL(Devices[Row Sel N], Devices[[#This Row],[Row Num]]), " ")</f>
        <v xml:space="preserve"> </v>
      </c>
      <c r="AH127" s="310"/>
      <c r="AI127" s="310" t="str">
        <f>IFERROR(INDEX(Devices[Part], Devices[[#This Row],[Sel IntRdiv]], 1), "")</f>
        <v/>
      </c>
      <c r="AJ127" s="310" t="str">
        <f>IFERROR(INDEX(Devices[Part], Devices[[#This Row],[Sel SE]], 1), "")</f>
        <v/>
      </c>
      <c r="AK127" s="310" t="str">
        <f>IFERROR(INDEX(Devices[Part], Devices[[#This Row],[Sel N]], 1), "")</f>
        <v/>
      </c>
    </row>
    <row r="128" spans="1:39" ht="15" customHeight="1">
      <c r="A128" s="349"/>
      <c r="B128" s="305"/>
      <c r="C128" s="431"/>
      <c r="D128" s="395"/>
      <c r="E128" s="395"/>
      <c r="F128" s="396"/>
      <c r="G128" s="396"/>
      <c r="H128" s="397"/>
      <c r="I128" s="397"/>
      <c r="J128" s="398"/>
      <c r="K128" s="398"/>
      <c r="L128" s="395"/>
      <c r="M128" s="395"/>
      <c r="N128" s="396"/>
      <c r="O128" s="396"/>
      <c r="P128" s="399"/>
      <c r="Q128" s="400"/>
      <c r="R128" s="402"/>
      <c r="S128" s="402"/>
      <c r="T128" s="392"/>
      <c r="U128" s="392"/>
      <c r="V128" s="392"/>
      <c r="W128" s="393"/>
      <c r="X128" s="394"/>
      <c r="Y128" s="309">
        <f t="shared" si="0"/>
        <v>122</v>
      </c>
      <c r="Z128" s="309">
        <f>IF(OR($AN$18=Devices[[#This Row],[Input Type]], 0=Devices[[#This Row],[Input Type]]),Devices[[#This Row],[Row Num]], " ")</f>
        <v>122</v>
      </c>
      <c r="AA128" s="309">
        <f>IF(OR($AN$19=Devices[[#This Row],[Input Type]], 0=Devices[[#This Row],[Input Type]]),Devices[[#This Row],[Row Num]], " ")</f>
        <v>122</v>
      </c>
      <c r="AB128" s="309">
        <f>IF(OR($AN$20=Devices[[#This Row],[Input Type]], 0=Devices[[#This Row],[Input Type]]),Devices[[#This Row],[Row Num]], " ")</f>
        <v>122</v>
      </c>
      <c r="AC128" s="309">
        <f>IF(0=Devices[[#This Row],[Input Type]], Devices[[#This Row],[Row Num]], " ")</f>
        <v>122</v>
      </c>
      <c r="AD128" s="310" t="str">
        <f>IFERROR(SMALL(Devices[Row Sel D], Devices[[#This Row],[Row Num]]), " ")</f>
        <v xml:space="preserve"> </v>
      </c>
      <c r="AE128" s="310" t="str">
        <f>IFERROR(SMALL(Devices[Row Sel IntRdiv], Devices[[#This Row],[Row Num]]), " ")</f>
        <v xml:space="preserve"> </v>
      </c>
      <c r="AF128" s="310" t="str">
        <f>IFERROR(SMALL(Devices[Row Sel SE], Devices[[#This Row],[Row Num]]), " ")</f>
        <v xml:space="preserve"> </v>
      </c>
      <c r="AG128" s="310" t="str">
        <f>IFERROR(SMALL(Devices[Row Sel N], Devices[[#This Row],[Row Num]]), " ")</f>
        <v xml:space="preserve"> </v>
      </c>
      <c r="AH128" s="310"/>
      <c r="AI128" s="310" t="str">
        <f>IFERROR(INDEX(Devices[Part], Devices[[#This Row],[Sel IntRdiv]], 1), "")</f>
        <v/>
      </c>
      <c r="AJ128" s="310" t="str">
        <f>IFERROR(INDEX(Devices[Part], Devices[[#This Row],[Sel SE]], 1), "")</f>
        <v/>
      </c>
      <c r="AK128" s="310" t="str">
        <f>IFERROR(INDEX(Devices[Part], Devices[[#This Row],[Sel N]], 1), "")</f>
        <v/>
      </c>
    </row>
    <row r="129" spans="1:37" ht="15" customHeight="1">
      <c r="A129" s="349"/>
      <c r="B129" s="305"/>
      <c r="C129" s="431"/>
      <c r="D129" s="395"/>
      <c r="E129" s="395"/>
      <c r="F129" s="396"/>
      <c r="G129" s="396"/>
      <c r="H129" s="397"/>
      <c r="I129" s="397"/>
      <c r="J129" s="398"/>
      <c r="K129" s="398"/>
      <c r="L129" s="395"/>
      <c r="M129" s="395"/>
      <c r="N129" s="396"/>
      <c r="O129" s="396"/>
      <c r="P129" s="399"/>
      <c r="Q129" s="400"/>
      <c r="R129" s="402"/>
      <c r="S129" s="402"/>
      <c r="T129" s="392"/>
      <c r="U129" s="392"/>
      <c r="V129" s="392"/>
      <c r="W129" s="393"/>
      <c r="X129" s="394"/>
      <c r="Y129" s="309">
        <f t="shared" si="0"/>
        <v>123</v>
      </c>
      <c r="Z129" s="309">
        <f>IF(OR($AN$18=Devices[[#This Row],[Input Type]], 0=Devices[[#This Row],[Input Type]]),Devices[[#This Row],[Row Num]], " ")</f>
        <v>123</v>
      </c>
      <c r="AA129" s="309">
        <f>IF(OR($AN$19=Devices[[#This Row],[Input Type]], 0=Devices[[#This Row],[Input Type]]),Devices[[#This Row],[Row Num]], " ")</f>
        <v>123</v>
      </c>
      <c r="AB129" s="309">
        <f>IF(OR($AN$20=Devices[[#This Row],[Input Type]], 0=Devices[[#This Row],[Input Type]]),Devices[[#This Row],[Row Num]], " ")</f>
        <v>123</v>
      </c>
      <c r="AC129" s="309">
        <f>IF(0=Devices[[#This Row],[Input Type]], Devices[[#This Row],[Row Num]], " ")</f>
        <v>123</v>
      </c>
      <c r="AD129" s="310" t="str">
        <f>IFERROR(SMALL(Devices[Row Sel D], Devices[[#This Row],[Row Num]]), " ")</f>
        <v xml:space="preserve"> </v>
      </c>
      <c r="AE129" s="310" t="str">
        <f>IFERROR(SMALL(Devices[Row Sel IntRdiv], Devices[[#This Row],[Row Num]]), " ")</f>
        <v xml:space="preserve"> </v>
      </c>
      <c r="AF129" s="310" t="str">
        <f>IFERROR(SMALL(Devices[Row Sel SE], Devices[[#This Row],[Row Num]]), " ")</f>
        <v xml:space="preserve"> </v>
      </c>
      <c r="AG129" s="325" t="str">
        <f>IFERROR(SMALL(Devices[Row Sel N], Devices[[#This Row],[Row Num]]), " ")</f>
        <v xml:space="preserve"> </v>
      </c>
      <c r="AH129" s="310"/>
      <c r="AI129" s="310" t="str">
        <f>IFERROR(INDEX(Devices[Part], Devices[[#This Row],[Sel IntRdiv]], 1), "")</f>
        <v/>
      </c>
      <c r="AJ129" s="310" t="str">
        <f>IFERROR(INDEX(Devices[Part], Devices[[#This Row],[Sel SE]], 1), "")</f>
        <v/>
      </c>
      <c r="AK129" s="310" t="str">
        <f>IFERROR(INDEX(Devices[Part], Devices[[#This Row],[Sel N]], 1), "")</f>
        <v/>
      </c>
    </row>
    <row r="130" spans="1:37" ht="15" customHeight="1">
      <c r="A130" s="349"/>
      <c r="B130" s="305"/>
      <c r="C130" s="431"/>
      <c r="D130" s="395"/>
      <c r="E130" s="395"/>
      <c r="F130" s="396"/>
      <c r="G130" s="396"/>
      <c r="H130" s="397"/>
      <c r="I130" s="397"/>
      <c r="J130" s="398"/>
      <c r="K130" s="398"/>
      <c r="L130" s="395"/>
      <c r="M130" s="395"/>
      <c r="N130" s="396"/>
      <c r="O130" s="396"/>
      <c r="P130" s="399"/>
      <c r="Q130" s="400"/>
      <c r="R130" s="402"/>
      <c r="S130" s="402"/>
      <c r="T130" s="392"/>
      <c r="U130" s="392"/>
      <c r="V130" s="392"/>
      <c r="W130" s="393"/>
      <c r="X130" s="324"/>
      <c r="Y130" s="309">
        <f t="shared" si="0"/>
        <v>124</v>
      </c>
      <c r="Z130" s="309">
        <f>IF(OR($AN$18=Devices[[#This Row],[Input Type]], 0=Devices[[#This Row],[Input Type]]),Devices[[#This Row],[Row Num]], " ")</f>
        <v>124</v>
      </c>
      <c r="AA130" s="309">
        <f>IF(OR($AN$19=Devices[[#This Row],[Input Type]], 0=Devices[[#This Row],[Input Type]]),Devices[[#This Row],[Row Num]], " ")</f>
        <v>124</v>
      </c>
      <c r="AB130" s="309">
        <f>IF(OR($AN$20=Devices[[#This Row],[Input Type]], 0=Devices[[#This Row],[Input Type]]),Devices[[#This Row],[Row Num]], " ")</f>
        <v>124</v>
      </c>
      <c r="AC130" s="309">
        <f>IF(0=Devices[[#This Row],[Input Type]], Devices[[#This Row],[Row Num]], " ")</f>
        <v>124</v>
      </c>
      <c r="AD130" s="310" t="str">
        <f>IFERROR(SMALL(Devices[Row Sel D], Devices[[#This Row],[Row Num]]), " ")</f>
        <v xml:space="preserve"> </v>
      </c>
      <c r="AE130" s="310" t="str">
        <f>IFERROR(SMALL(Devices[Row Sel IntRdiv], Devices[[#This Row],[Row Num]]), " ")</f>
        <v xml:space="preserve"> </v>
      </c>
      <c r="AF130" s="310" t="str">
        <f>IFERROR(SMALL(Devices[Row Sel SE], Devices[[#This Row],[Row Num]]), " ")</f>
        <v xml:space="preserve"> </v>
      </c>
      <c r="AG130" s="325" t="str">
        <f>IFERROR(SMALL(Devices[Row Sel N], Devices[[#This Row],[Row Num]]), " ")</f>
        <v xml:space="preserve"> </v>
      </c>
      <c r="AH130" s="310"/>
      <c r="AI130" s="310" t="str">
        <f>IFERROR(INDEX(Devices[Part], Devices[[#This Row],[Sel IntRdiv]], 1), "")</f>
        <v/>
      </c>
      <c r="AJ130" s="310" t="str">
        <f>IFERROR(INDEX(Devices[Part], Devices[[#This Row],[Sel SE]], 1), "")</f>
        <v/>
      </c>
      <c r="AK130" s="310" t="str">
        <f>IFERROR(INDEX(Devices[Part], Devices[[#This Row],[Sel N]], 1), "")</f>
        <v/>
      </c>
    </row>
    <row r="131" spans="1:37" ht="15" customHeight="1">
      <c r="A131" s="349"/>
      <c r="B131" s="313"/>
      <c r="C131" s="431"/>
      <c r="D131" s="395"/>
      <c r="E131" s="395"/>
      <c r="F131" s="396"/>
      <c r="G131" s="396"/>
      <c r="H131" s="397"/>
      <c r="I131" s="397"/>
      <c r="J131" s="398"/>
      <c r="K131" s="398"/>
      <c r="L131" s="395"/>
      <c r="M131" s="395"/>
      <c r="N131" s="396"/>
      <c r="O131" s="396"/>
      <c r="P131" s="399"/>
      <c r="Q131" s="400"/>
      <c r="R131" s="402"/>
      <c r="S131" s="402"/>
      <c r="T131" s="392"/>
      <c r="U131" s="392"/>
      <c r="V131" s="392"/>
      <c r="W131" s="393"/>
      <c r="X131" s="324"/>
      <c r="Y131" s="401">
        <f>ROW()-6</f>
        <v>125</v>
      </c>
      <c r="Z131" s="401">
        <f>IF(OR($AN$18=Devices[[#This Row],[Input Type]], 0=Devices[[#This Row],[Input Type]]),Devices[[#This Row],[Row Num]], " ")</f>
        <v>125</v>
      </c>
      <c r="AA131" s="401">
        <f>IF(OR($AN$19=Devices[[#This Row],[Input Type]], 0=Devices[[#This Row],[Input Type]]),Devices[[#This Row],[Row Num]], " ")</f>
        <v>125</v>
      </c>
      <c r="AB131" s="401">
        <f>IF(OR($AN$20=Devices[[#This Row],[Input Type]], 0=Devices[[#This Row],[Input Type]]),Devices[[#This Row],[Row Num]], " ")</f>
        <v>125</v>
      </c>
      <c r="AC131" s="401">
        <f>IF(0=Devices[[#This Row],[Input Type]], Devices[[#This Row],[Row Num]], " ")</f>
        <v>125</v>
      </c>
      <c r="AD131" s="401" t="str">
        <f>IFERROR(SMALL(Devices[Row Sel D], Devices[[#This Row],[Row Num]]), " ")</f>
        <v xml:space="preserve"> </v>
      </c>
      <c r="AE131" s="401" t="str">
        <f>IFERROR(SMALL(Devices[Row Sel IntRdiv], Devices[[#This Row],[Row Num]]), " ")</f>
        <v xml:space="preserve"> </v>
      </c>
      <c r="AF131" s="401" t="str">
        <f>IFERROR(SMALL(Devices[Row Sel SE], Devices[[#This Row],[Row Num]]), " ")</f>
        <v xml:space="preserve"> </v>
      </c>
      <c r="AG131" s="401" t="str">
        <f>IFERROR(SMALL(Devices[Row Sel N], Devices[[#This Row],[Row Num]]), " ")</f>
        <v xml:space="preserve"> </v>
      </c>
      <c r="AH131" s="401" t="str">
        <f>IFERROR(INDEX(Devices[Part], Devices[[#This Row],[Sel D]], 1), "")</f>
        <v/>
      </c>
      <c r="AI131" s="401" t="str">
        <f>IFERROR(INDEX(Devices[Part], Devices[[#This Row],[Sel IntRdiv]], 1), "")</f>
        <v/>
      </c>
      <c r="AJ131" s="401" t="str">
        <f>IFERROR(INDEX(Devices[Part], Devices[[#This Row],[Sel SE]], 1), "")</f>
        <v/>
      </c>
      <c r="AK131" s="401" t="str">
        <f>IFERROR(INDEX(Devices[Part], Devices[[#This Row],[Sel N]], 1), "")</f>
        <v/>
      </c>
    </row>
    <row r="132" spans="1:37" ht="15" customHeight="1">
      <c r="A132" s="349"/>
      <c r="B132" s="305"/>
      <c r="C132" s="431"/>
      <c r="D132" s="395"/>
      <c r="E132" s="395"/>
      <c r="F132" s="396"/>
      <c r="G132" s="396"/>
      <c r="H132" s="397"/>
      <c r="I132" s="397"/>
      <c r="J132" s="398"/>
      <c r="K132" s="398"/>
      <c r="L132" s="395"/>
      <c r="M132" s="395"/>
      <c r="N132" s="396"/>
      <c r="O132" s="396"/>
      <c r="P132" s="399"/>
      <c r="Q132" s="400"/>
      <c r="R132" s="402"/>
      <c r="S132" s="402"/>
      <c r="T132" s="392"/>
      <c r="U132" s="393"/>
      <c r="V132" s="393"/>
      <c r="W132" s="393"/>
      <c r="X132" s="324"/>
      <c r="Y132" s="309">
        <f t="shared" si="0"/>
        <v>126</v>
      </c>
      <c r="Z132" s="309">
        <f>IF(OR($AN$18=Devices[[#This Row],[Input Type]], 0=Devices[[#This Row],[Input Type]]),Devices[[#This Row],[Row Num]], " ")</f>
        <v>126</v>
      </c>
      <c r="AA132" s="309">
        <f>IF(OR($AN$19=Devices[[#This Row],[Input Type]], 0=Devices[[#This Row],[Input Type]]),Devices[[#This Row],[Row Num]], " ")</f>
        <v>126</v>
      </c>
      <c r="AB132" s="309">
        <f>IF(OR($AN$20=Devices[[#This Row],[Input Type]], 0=Devices[[#This Row],[Input Type]]),Devices[[#This Row],[Row Num]], " ")</f>
        <v>126</v>
      </c>
      <c r="AC132" s="309">
        <f>IF(0=Devices[[#This Row],[Input Type]], Devices[[#This Row],[Row Num]], " ")</f>
        <v>126</v>
      </c>
      <c r="AD132" s="310" t="str">
        <f>IFERROR(SMALL(Devices[Row Sel D], Devices[[#This Row],[Row Num]]), " ")</f>
        <v xml:space="preserve"> </v>
      </c>
      <c r="AE132" s="310" t="str">
        <f>IFERROR(SMALL(Devices[Row Sel IntRdiv], Devices[[#This Row],[Row Num]]), " ")</f>
        <v xml:space="preserve"> </v>
      </c>
      <c r="AF132" s="310" t="str">
        <f>IFERROR(SMALL(Devices[Row Sel SE], Devices[[#This Row],[Row Num]]), " ")</f>
        <v xml:space="preserve"> </v>
      </c>
      <c r="AG132" s="310" t="str">
        <f>IFERROR(SMALL(Devices[Row Sel N], Devices[[#This Row],[Row Num]]), " ")</f>
        <v xml:space="preserve"> </v>
      </c>
      <c r="AH132" s="310"/>
      <c r="AI132" s="310" t="str">
        <f>IFERROR(INDEX(Devices[Part], Devices[[#This Row],[Sel IntRdiv]], 1), "")</f>
        <v/>
      </c>
      <c r="AJ132" s="310" t="str">
        <f>IFERROR(INDEX(Devices[Part], Devices[[#This Row],[Sel SE]], 1), "")</f>
        <v/>
      </c>
      <c r="AK132" s="310" t="str">
        <f>IFERROR(INDEX(Devices[Part], Devices[[#This Row],[Sel N]], 1), "")</f>
        <v/>
      </c>
    </row>
    <row r="133" spans="1:37" ht="15" customHeight="1">
      <c r="A133" s="349"/>
      <c r="B133" s="380"/>
      <c r="C133" s="431"/>
      <c r="D133" s="395"/>
      <c r="E133" s="395"/>
      <c r="F133" s="396"/>
      <c r="G133" s="396"/>
      <c r="H133" s="397"/>
      <c r="I133" s="397"/>
      <c r="J133" s="398"/>
      <c r="K133" s="398"/>
      <c r="L133" s="395"/>
      <c r="M133" s="395"/>
      <c r="N133" s="396"/>
      <c r="O133" s="396"/>
      <c r="P133" s="399"/>
      <c r="Q133" s="400"/>
      <c r="R133" s="402"/>
      <c r="S133" s="402"/>
      <c r="T133" s="392"/>
      <c r="U133" s="393"/>
      <c r="V133" s="393"/>
      <c r="W133" s="393"/>
      <c r="X133" s="324"/>
      <c r="Y133" s="309">
        <f t="shared" si="0"/>
        <v>127</v>
      </c>
      <c r="Z133" s="309">
        <f>IF(OR($AN$18=Devices[[#This Row],[Input Type]], 0=Devices[[#This Row],[Input Type]]),Devices[[#This Row],[Row Num]], " ")</f>
        <v>127</v>
      </c>
      <c r="AA133" s="309">
        <f>IF(OR($AN$19=Devices[[#This Row],[Input Type]], 0=Devices[[#This Row],[Input Type]]),Devices[[#This Row],[Row Num]], " ")</f>
        <v>127</v>
      </c>
      <c r="AB133" s="309">
        <f>IF(OR($AN$20=Devices[[#This Row],[Input Type]], 0=Devices[[#This Row],[Input Type]]),Devices[[#This Row],[Row Num]], " ")</f>
        <v>127</v>
      </c>
      <c r="AC133" s="309">
        <f>IF(0=Devices[[#This Row],[Input Type]], Devices[[#This Row],[Row Num]], " ")</f>
        <v>127</v>
      </c>
      <c r="AD133" s="310" t="str">
        <f>IFERROR(SMALL(Devices[Row Sel D], Devices[[#This Row],[Row Num]]), " ")</f>
        <v xml:space="preserve"> </v>
      </c>
      <c r="AE133" s="310" t="str">
        <f>IFERROR(SMALL(Devices[Row Sel IntRdiv], Devices[[#This Row],[Row Num]]), " ")</f>
        <v xml:space="preserve"> </v>
      </c>
      <c r="AF133" s="310" t="str">
        <f>IFERROR(SMALL(Devices[Row Sel SE], Devices[[#This Row],[Row Num]]), " ")</f>
        <v xml:space="preserve"> </v>
      </c>
      <c r="AG133" s="401" t="str">
        <f>IFERROR(SMALL(Devices[Row Sel N], Devices[[#This Row],[Row Num]]), " ")</f>
        <v xml:space="preserve"> </v>
      </c>
      <c r="AH133" s="310"/>
      <c r="AI133" s="310" t="str">
        <f>IFERROR(INDEX(Devices[Part], Devices[[#This Row],[Sel IntRdiv]], 1), "")</f>
        <v/>
      </c>
      <c r="AJ133" s="310" t="str">
        <f>IFERROR(INDEX(Devices[Part], Devices[[#This Row],[Sel SE]], 1), "")</f>
        <v/>
      </c>
      <c r="AK133" s="310" t="str">
        <f>IFERROR(INDEX(Devices[Part], Devices[[#This Row],[Sel N]], 1), "")</f>
        <v/>
      </c>
    </row>
    <row r="134" spans="1:37" ht="15" customHeight="1">
      <c r="A134" s="414"/>
      <c r="B134" s="262"/>
      <c r="C134" s="425"/>
      <c r="D134" s="262"/>
      <c r="E134" s="415"/>
      <c r="F134" s="415"/>
      <c r="G134" s="416"/>
      <c r="H134" s="416"/>
      <c r="I134" s="417"/>
      <c r="J134" s="417"/>
      <c r="K134" s="262"/>
      <c r="L134" s="262"/>
      <c r="M134" s="415"/>
      <c r="N134" s="415"/>
      <c r="O134" s="418"/>
      <c r="P134" s="419"/>
      <c r="Q134" s="419"/>
      <c r="R134" s="420"/>
      <c r="S134" s="420"/>
      <c r="T134" s="419"/>
      <c r="U134" s="421"/>
      <c r="V134" s="421"/>
      <c r="W134" s="421"/>
    </row>
    <row r="135" spans="1:37" ht="15" customHeight="1">
      <c r="A135" s="414"/>
      <c r="B135" s="262"/>
      <c r="C135" s="425"/>
      <c r="D135" s="262"/>
      <c r="E135" s="415"/>
      <c r="F135" s="415"/>
      <c r="G135" s="416"/>
      <c r="H135" s="416"/>
      <c r="I135" s="417"/>
      <c r="J135" s="417"/>
      <c r="K135" s="262"/>
      <c r="L135" s="262"/>
      <c r="M135" s="415"/>
      <c r="N135" s="415"/>
      <c r="O135" s="418"/>
      <c r="P135" s="419"/>
      <c r="Q135" s="419"/>
      <c r="R135" s="420"/>
      <c r="S135" s="420"/>
      <c r="T135" s="419"/>
      <c r="U135" s="421"/>
      <c r="V135" s="421"/>
      <c r="W135" s="421"/>
    </row>
    <row r="136" spans="1:37" ht="15" customHeight="1">
      <c r="A136" s="414"/>
      <c r="B136" s="262"/>
      <c r="C136" s="425"/>
      <c r="D136" s="262"/>
      <c r="E136" s="415"/>
      <c r="F136" s="415"/>
      <c r="G136" s="416"/>
      <c r="H136" s="416"/>
      <c r="I136" s="417"/>
      <c r="J136" s="417"/>
      <c r="K136" s="262"/>
      <c r="L136" s="262"/>
      <c r="M136" s="415"/>
      <c r="N136" s="415"/>
      <c r="O136" s="418"/>
      <c r="P136" s="419"/>
      <c r="Q136" s="419"/>
      <c r="R136" s="420"/>
      <c r="S136" s="420"/>
      <c r="T136" s="419"/>
      <c r="U136" s="421"/>
      <c r="V136" s="421"/>
      <c r="W136" s="421"/>
    </row>
    <row r="137" spans="1:37" ht="15" customHeight="1">
      <c r="A137" s="414"/>
      <c r="B137" s="262"/>
      <c r="C137" s="425"/>
      <c r="D137" s="262"/>
      <c r="E137" s="415"/>
      <c r="F137" s="415"/>
      <c r="G137" s="416"/>
      <c r="H137" s="416"/>
      <c r="I137" s="417"/>
      <c r="J137" s="417"/>
      <c r="K137" s="262"/>
      <c r="L137" s="262"/>
      <c r="M137" s="415"/>
      <c r="N137" s="415"/>
      <c r="O137" s="418"/>
      <c r="P137" s="419"/>
      <c r="Q137" s="419"/>
      <c r="R137" s="420"/>
      <c r="S137" s="420"/>
      <c r="T137" s="419"/>
      <c r="U137" s="421"/>
      <c r="V137" s="421"/>
      <c r="W137" s="421"/>
    </row>
    <row r="138" spans="1:37" ht="15" customHeight="1">
      <c r="A138" s="414"/>
      <c r="B138" s="262"/>
      <c r="C138" s="425"/>
      <c r="D138" s="262"/>
      <c r="E138" s="415"/>
      <c r="F138" s="415"/>
      <c r="G138" s="416"/>
      <c r="H138" s="416"/>
      <c r="I138" s="417"/>
      <c r="J138" s="417"/>
      <c r="K138" s="262"/>
      <c r="L138" s="262"/>
      <c r="M138" s="415"/>
      <c r="N138" s="415"/>
      <c r="O138" s="418"/>
      <c r="P138" s="419"/>
      <c r="Q138" s="419"/>
      <c r="R138" s="420"/>
      <c r="S138" s="420"/>
      <c r="T138" s="419"/>
      <c r="U138" s="421"/>
      <c r="V138" s="421"/>
      <c r="W138" s="421"/>
    </row>
    <row r="139" spans="1:37" ht="15" customHeight="1">
      <c r="A139" s="414"/>
      <c r="B139" s="262"/>
      <c r="C139" s="425"/>
      <c r="D139" s="262"/>
      <c r="E139" s="415"/>
      <c r="F139" s="415"/>
      <c r="G139" s="416"/>
      <c r="H139" s="416"/>
      <c r="I139" s="417"/>
      <c r="J139" s="417"/>
      <c r="K139" s="262"/>
      <c r="L139" s="262"/>
      <c r="M139" s="415"/>
      <c r="N139" s="415"/>
      <c r="O139" s="418"/>
      <c r="P139" s="419"/>
      <c r="Q139" s="419"/>
      <c r="R139" s="420"/>
      <c r="S139" s="420"/>
      <c r="T139" s="419"/>
      <c r="U139" s="421"/>
      <c r="V139" s="421"/>
      <c r="W139" s="421"/>
    </row>
    <row r="140" spans="1:37" ht="15" customHeight="1">
      <c r="A140" s="414"/>
      <c r="B140" s="262"/>
      <c r="C140" s="425"/>
      <c r="D140" s="262"/>
      <c r="E140" s="415"/>
      <c r="F140" s="415"/>
      <c r="G140" s="416"/>
      <c r="H140" s="416"/>
      <c r="I140" s="417"/>
      <c r="J140" s="417"/>
      <c r="K140" s="262"/>
      <c r="L140" s="262"/>
      <c r="M140" s="415"/>
      <c r="N140" s="415"/>
      <c r="O140" s="418"/>
      <c r="P140" s="419"/>
      <c r="Q140" s="419"/>
      <c r="R140" s="420"/>
      <c r="S140" s="420"/>
      <c r="T140" s="419"/>
      <c r="U140" s="421"/>
      <c r="V140" s="421"/>
      <c r="W140" s="421"/>
    </row>
    <row r="141" spans="1:37" ht="15" customHeight="1">
      <c r="A141" s="414"/>
      <c r="B141" s="262"/>
      <c r="C141" s="425"/>
      <c r="D141" s="262"/>
      <c r="E141" s="415"/>
      <c r="F141" s="415"/>
      <c r="G141" s="416"/>
      <c r="H141" s="416"/>
      <c r="I141" s="417"/>
      <c r="J141" s="417"/>
      <c r="K141" s="262"/>
      <c r="L141" s="262"/>
      <c r="M141" s="415"/>
      <c r="N141" s="415"/>
      <c r="O141" s="418"/>
      <c r="P141" s="419"/>
      <c r="Q141" s="419"/>
      <c r="R141" s="420"/>
      <c r="S141" s="420"/>
      <c r="T141" s="419"/>
      <c r="U141" s="421"/>
      <c r="V141" s="421"/>
      <c r="W141" s="421"/>
    </row>
    <row r="142" spans="1:37" ht="15" customHeight="1">
      <c r="A142" s="414"/>
      <c r="B142" s="262"/>
      <c r="C142" s="425"/>
      <c r="D142" s="262"/>
      <c r="E142" s="415"/>
      <c r="F142" s="415"/>
      <c r="G142" s="416"/>
      <c r="H142" s="416"/>
      <c r="I142" s="417"/>
      <c r="J142" s="417"/>
      <c r="K142" s="262"/>
      <c r="L142" s="262"/>
      <c r="M142" s="415"/>
      <c r="N142" s="415"/>
      <c r="O142" s="418"/>
      <c r="P142" s="419"/>
      <c r="Q142" s="419"/>
      <c r="R142" s="420"/>
      <c r="S142" s="420"/>
      <c r="T142" s="419"/>
      <c r="U142" s="421"/>
      <c r="V142" s="421"/>
      <c r="W142" s="421"/>
    </row>
    <row r="143" spans="1:37" ht="15" customHeight="1">
      <c r="A143" s="414"/>
      <c r="B143" s="262"/>
      <c r="C143" s="425"/>
      <c r="D143" s="262"/>
      <c r="E143" s="415"/>
      <c r="F143" s="415"/>
      <c r="G143" s="416"/>
      <c r="H143" s="416"/>
      <c r="I143" s="417"/>
      <c r="J143" s="417"/>
      <c r="K143" s="262"/>
      <c r="L143" s="262"/>
      <c r="M143" s="415"/>
      <c r="N143" s="415"/>
      <c r="O143" s="418"/>
      <c r="P143" s="419"/>
      <c r="Q143" s="419"/>
      <c r="R143" s="420"/>
      <c r="S143" s="420"/>
      <c r="T143" s="419"/>
      <c r="U143" s="421"/>
      <c r="V143" s="421"/>
      <c r="W143" s="421"/>
    </row>
    <row r="144" spans="1:37" ht="15" customHeight="1">
      <c r="A144" s="414"/>
      <c r="B144" s="262"/>
      <c r="C144" s="425"/>
      <c r="D144" s="262"/>
      <c r="E144" s="415"/>
      <c r="F144" s="415"/>
      <c r="G144" s="416"/>
      <c r="H144" s="416"/>
      <c r="I144" s="417"/>
      <c r="J144" s="417"/>
      <c r="K144" s="262"/>
      <c r="L144" s="262"/>
      <c r="M144" s="415"/>
      <c r="N144" s="415"/>
      <c r="O144" s="418"/>
      <c r="P144" s="419"/>
      <c r="Q144" s="419"/>
      <c r="R144" s="420"/>
      <c r="S144" s="420"/>
      <c r="T144" s="419"/>
      <c r="U144" s="421"/>
      <c r="V144" s="421"/>
      <c r="W144" s="421"/>
    </row>
    <row r="145" spans="1:23" ht="15" customHeight="1">
      <c r="A145" s="414"/>
      <c r="B145" s="262"/>
      <c r="C145" s="425"/>
      <c r="D145" s="262"/>
      <c r="E145" s="415"/>
      <c r="F145" s="415"/>
      <c r="G145" s="416"/>
      <c r="H145" s="416"/>
      <c r="I145" s="417"/>
      <c r="J145" s="417"/>
      <c r="K145" s="262"/>
      <c r="L145" s="262"/>
      <c r="M145" s="415"/>
      <c r="N145" s="415"/>
      <c r="O145" s="418"/>
      <c r="P145" s="419"/>
      <c r="Q145" s="419"/>
      <c r="R145" s="420"/>
      <c r="S145" s="420"/>
      <c r="T145" s="419"/>
      <c r="U145" s="421"/>
      <c r="V145" s="421"/>
      <c r="W145" s="421"/>
    </row>
    <row r="146" spans="1:23" ht="15" customHeight="1">
      <c r="A146" s="414"/>
      <c r="B146" s="262"/>
      <c r="C146" s="425"/>
      <c r="D146" s="262"/>
      <c r="E146" s="415"/>
      <c r="F146" s="415"/>
      <c r="G146" s="416"/>
      <c r="H146" s="416"/>
      <c r="I146" s="417"/>
      <c r="J146" s="417"/>
      <c r="K146" s="262"/>
      <c r="L146" s="262"/>
      <c r="M146" s="415"/>
      <c r="N146" s="415"/>
      <c r="O146" s="418"/>
      <c r="P146" s="419"/>
      <c r="Q146" s="419"/>
      <c r="R146" s="420"/>
      <c r="S146" s="420"/>
      <c r="T146" s="419"/>
      <c r="U146" s="421"/>
      <c r="V146" s="421"/>
      <c r="W146" s="421"/>
    </row>
    <row r="147" spans="1:23" ht="15" customHeight="1">
      <c r="A147" s="414"/>
      <c r="B147" s="262"/>
      <c r="C147" s="425"/>
      <c r="D147" s="262"/>
      <c r="E147" s="415"/>
      <c r="F147" s="415"/>
      <c r="G147" s="416"/>
      <c r="H147" s="416"/>
      <c r="I147" s="417"/>
      <c r="J147" s="417"/>
      <c r="K147" s="262"/>
      <c r="L147" s="262"/>
      <c r="M147" s="415"/>
      <c r="N147" s="415"/>
      <c r="O147" s="418"/>
      <c r="P147" s="419"/>
      <c r="Q147" s="419"/>
      <c r="R147" s="420"/>
      <c r="S147" s="420"/>
      <c r="T147" s="419"/>
      <c r="U147" s="421"/>
      <c r="V147" s="421"/>
      <c r="W147" s="421"/>
    </row>
    <row r="148" spans="1:23" ht="15" customHeight="1">
      <c r="A148" s="414"/>
      <c r="B148" s="262"/>
      <c r="C148" s="425"/>
      <c r="D148" s="262"/>
      <c r="E148" s="415"/>
      <c r="F148" s="415"/>
      <c r="G148" s="416"/>
      <c r="H148" s="416"/>
      <c r="I148" s="417"/>
      <c r="J148" s="417"/>
      <c r="K148" s="262"/>
      <c r="L148" s="262"/>
      <c r="M148" s="415"/>
      <c r="N148" s="415"/>
      <c r="O148" s="418"/>
      <c r="P148" s="419"/>
      <c r="Q148" s="419"/>
      <c r="R148" s="420"/>
      <c r="S148" s="420"/>
      <c r="T148" s="419"/>
      <c r="U148" s="421"/>
      <c r="V148" s="421"/>
      <c r="W148" s="421"/>
    </row>
    <row r="149" spans="1:23" ht="15" customHeight="1">
      <c r="A149" s="414"/>
      <c r="B149" s="262"/>
      <c r="C149" s="425"/>
      <c r="D149" s="262"/>
      <c r="E149" s="415"/>
      <c r="F149" s="415"/>
      <c r="G149" s="416"/>
      <c r="H149" s="416"/>
      <c r="I149" s="417"/>
      <c r="J149" s="417"/>
      <c r="K149" s="262"/>
      <c r="L149" s="262"/>
      <c r="M149" s="415"/>
      <c r="N149" s="415"/>
      <c r="O149" s="418"/>
      <c r="P149" s="419"/>
      <c r="Q149" s="419"/>
      <c r="R149" s="420"/>
      <c r="S149" s="420"/>
      <c r="T149" s="419"/>
      <c r="U149" s="421"/>
      <c r="V149" s="421"/>
      <c r="W149" s="421"/>
    </row>
    <row r="150" spans="1:23" ht="15" customHeight="1">
      <c r="A150" s="414"/>
      <c r="B150" s="262"/>
      <c r="C150" s="425"/>
      <c r="D150" s="262"/>
      <c r="E150" s="415"/>
      <c r="F150" s="415"/>
      <c r="G150" s="416"/>
      <c r="H150" s="416"/>
      <c r="I150" s="417"/>
      <c r="J150" s="417"/>
      <c r="K150" s="262"/>
      <c r="L150" s="262"/>
      <c r="M150" s="415"/>
      <c r="N150" s="415"/>
      <c r="O150" s="418"/>
      <c r="P150" s="419"/>
      <c r="Q150" s="419"/>
      <c r="R150" s="420"/>
      <c r="S150" s="420"/>
      <c r="T150" s="419"/>
      <c r="U150" s="421"/>
      <c r="V150" s="421"/>
      <c r="W150" s="421"/>
    </row>
    <row r="151" spans="1:23" ht="15" customHeight="1">
      <c r="A151" s="414"/>
      <c r="B151" s="262"/>
      <c r="C151" s="425"/>
      <c r="D151" s="262"/>
      <c r="E151" s="415"/>
      <c r="F151" s="415"/>
      <c r="G151" s="416"/>
      <c r="H151" s="416"/>
      <c r="I151" s="417"/>
      <c r="J151" s="417"/>
      <c r="K151" s="262"/>
      <c r="L151" s="262"/>
      <c r="M151" s="415"/>
      <c r="N151" s="415"/>
      <c r="O151" s="418"/>
      <c r="P151" s="419"/>
      <c r="Q151" s="419"/>
      <c r="R151" s="420"/>
      <c r="S151" s="420"/>
      <c r="T151" s="419"/>
      <c r="U151" s="421"/>
      <c r="V151" s="421"/>
      <c r="W151" s="421"/>
    </row>
    <row r="152" spans="1:23">
      <c r="A152" s="414"/>
      <c r="B152" s="262"/>
      <c r="C152" s="425"/>
      <c r="D152" s="262"/>
      <c r="E152" s="415"/>
      <c r="F152" s="415"/>
      <c r="G152" s="416"/>
      <c r="H152" s="416"/>
      <c r="I152" s="417"/>
      <c r="J152" s="417"/>
      <c r="K152" s="262"/>
      <c r="L152" s="262"/>
      <c r="M152" s="415"/>
      <c r="N152" s="415"/>
      <c r="O152" s="418"/>
      <c r="P152" s="419"/>
      <c r="Q152" s="419"/>
      <c r="R152" s="420"/>
      <c r="S152" s="420"/>
      <c r="T152" s="419"/>
      <c r="U152" s="421"/>
      <c r="V152" s="421"/>
      <c r="W152" s="421"/>
    </row>
    <row r="153" spans="1:23">
      <c r="A153" s="414"/>
      <c r="B153" s="262"/>
      <c r="C153" s="425"/>
      <c r="D153" s="262"/>
      <c r="E153" s="415"/>
      <c r="F153" s="415"/>
      <c r="G153" s="416"/>
      <c r="H153" s="416"/>
      <c r="I153" s="417"/>
      <c r="J153" s="417"/>
      <c r="K153" s="262"/>
      <c r="L153" s="262"/>
      <c r="M153" s="415"/>
      <c r="N153" s="415"/>
      <c r="O153" s="418"/>
      <c r="P153" s="419"/>
      <c r="Q153" s="419"/>
      <c r="R153" s="420"/>
      <c r="S153" s="420"/>
      <c r="T153" s="419"/>
      <c r="U153" s="421"/>
      <c r="V153" s="421"/>
      <c r="W153" s="421"/>
    </row>
    <row r="154" spans="1:23" ht="17.100000000000001" customHeight="1">
      <c r="A154" s="414"/>
      <c r="B154" s="262"/>
      <c r="C154" s="425"/>
      <c r="D154" s="262"/>
      <c r="E154" s="415"/>
      <c r="F154" s="415"/>
      <c r="G154" s="416"/>
      <c r="H154" s="416"/>
      <c r="I154" s="417"/>
      <c r="J154" s="417"/>
      <c r="K154" s="262"/>
      <c r="L154" s="262"/>
      <c r="M154" s="415"/>
      <c r="N154" s="415"/>
      <c r="O154" s="418"/>
      <c r="P154" s="419"/>
      <c r="Q154" s="419"/>
      <c r="R154" s="420"/>
      <c r="S154" s="420"/>
      <c r="T154" s="419"/>
      <c r="U154" s="421"/>
      <c r="V154" s="421"/>
      <c r="W154" s="421"/>
    </row>
    <row r="155" spans="1:23">
      <c r="A155" s="414"/>
      <c r="B155" s="262"/>
      <c r="C155" s="425"/>
      <c r="D155" s="262"/>
      <c r="E155" s="415"/>
      <c r="F155" s="415"/>
      <c r="G155" s="416"/>
      <c r="H155" s="416"/>
      <c r="I155" s="417"/>
      <c r="J155" s="417"/>
      <c r="K155" s="262"/>
      <c r="L155" s="262"/>
      <c r="M155" s="415"/>
      <c r="N155" s="415"/>
      <c r="O155" s="418"/>
      <c r="P155" s="419"/>
      <c r="Q155" s="419"/>
      <c r="R155" s="420"/>
      <c r="S155" s="420"/>
      <c r="T155" s="419"/>
      <c r="U155" s="421"/>
      <c r="V155" s="421"/>
      <c r="W155" s="421"/>
    </row>
    <row r="156" spans="1:23">
      <c r="A156" s="414"/>
      <c r="B156" s="262"/>
      <c r="C156" s="425"/>
      <c r="D156" s="262"/>
      <c r="E156" s="415"/>
      <c r="F156" s="415"/>
      <c r="G156" s="416"/>
      <c r="H156" s="416"/>
      <c r="I156" s="417"/>
      <c r="J156" s="417"/>
      <c r="K156" s="262"/>
      <c r="L156" s="262"/>
      <c r="M156" s="415"/>
      <c r="N156" s="415"/>
      <c r="O156" s="418"/>
      <c r="P156" s="419"/>
      <c r="Q156" s="419"/>
      <c r="R156" s="420"/>
      <c r="S156" s="420"/>
      <c r="T156" s="419"/>
      <c r="U156" s="421"/>
      <c r="V156" s="421"/>
      <c r="W156" s="421"/>
    </row>
    <row r="157" spans="1:23">
      <c r="A157" s="414"/>
      <c r="B157" s="262"/>
      <c r="C157" s="425"/>
      <c r="D157" s="262"/>
      <c r="E157" s="415"/>
      <c r="F157" s="415"/>
      <c r="G157" s="416"/>
      <c r="H157" s="416"/>
      <c r="I157" s="417"/>
      <c r="J157" s="417"/>
      <c r="K157" s="262"/>
      <c r="L157" s="262"/>
      <c r="M157" s="415"/>
      <c r="N157" s="415"/>
      <c r="O157" s="418"/>
      <c r="P157" s="419"/>
      <c r="Q157" s="419"/>
      <c r="R157" s="420"/>
      <c r="S157" s="420"/>
      <c r="T157" s="419"/>
      <c r="U157" s="421"/>
      <c r="V157" s="421"/>
      <c r="W157" s="421"/>
    </row>
    <row r="158" spans="1:23">
      <c r="A158" s="414"/>
      <c r="B158" s="262"/>
      <c r="C158" s="425"/>
      <c r="D158" s="262"/>
      <c r="E158" s="415"/>
      <c r="F158" s="415"/>
      <c r="G158" s="416"/>
      <c r="H158" s="416"/>
      <c r="I158" s="417"/>
      <c r="J158" s="417"/>
      <c r="K158" s="262"/>
      <c r="L158" s="262"/>
      <c r="M158" s="415"/>
      <c r="N158" s="415"/>
      <c r="O158" s="418"/>
      <c r="P158" s="419"/>
      <c r="Q158" s="419"/>
      <c r="R158" s="420"/>
      <c r="S158" s="420"/>
      <c r="T158" s="419"/>
      <c r="U158" s="421"/>
      <c r="V158" s="421"/>
      <c r="W158" s="421"/>
    </row>
    <row r="170" spans="2:18" ht="15" customHeight="1"/>
    <row r="171" spans="2:18" ht="15" customHeight="1"/>
    <row r="172" spans="2:18" ht="15" customHeight="1"/>
    <row r="173" spans="2:18" ht="15" customHeight="1"/>
    <row r="174" spans="2:18" ht="15" customHeight="1"/>
    <row r="175" spans="2:18" ht="15" customHeight="1">
      <c r="B175" s="799"/>
      <c r="F175" s="799"/>
      <c r="G175" s="799"/>
      <c r="H175" s="799"/>
      <c r="I175" s="799"/>
      <c r="J175" s="799"/>
      <c r="K175" s="799"/>
      <c r="M175" s="799"/>
      <c r="N175" s="799"/>
      <c r="O175" s="799"/>
      <c r="P175" s="799"/>
      <c r="R175" s="799"/>
    </row>
    <row r="176" spans="2:18" ht="15" customHeight="1">
      <c r="B176" s="799"/>
      <c r="F176" s="799"/>
      <c r="G176" s="799"/>
      <c r="H176" s="799"/>
      <c r="I176" s="799"/>
      <c r="J176" s="799"/>
      <c r="K176" s="799"/>
      <c r="M176" s="799"/>
      <c r="N176" s="799"/>
      <c r="O176" s="799"/>
      <c r="P176" s="799"/>
      <c r="R176" s="799"/>
    </row>
    <row r="177" spans="1:23" ht="15" customHeight="1">
      <c r="A177" s="422"/>
      <c r="B177" s="423"/>
      <c r="C177" s="423"/>
      <c r="D177" s="423"/>
      <c r="E177" s="423"/>
      <c r="F177" s="423"/>
      <c r="G177" s="423"/>
      <c r="H177" s="423"/>
      <c r="I177" s="423"/>
      <c r="J177" s="423"/>
      <c r="K177" s="423"/>
      <c r="L177" s="423"/>
      <c r="M177" s="423"/>
      <c r="N177" s="423"/>
      <c r="O177" s="423"/>
      <c r="P177" s="423"/>
      <c r="Q177" s="423"/>
      <c r="R177" s="423"/>
      <c r="S177" s="423"/>
      <c r="T177" s="423"/>
      <c r="U177" s="423"/>
      <c r="V177" s="423"/>
      <c r="W177" s="423"/>
    </row>
    <row r="178" spans="1:23" ht="15" customHeight="1">
      <c r="A178" s="422"/>
      <c r="B178" s="423"/>
      <c r="C178" s="423"/>
      <c r="D178" s="423"/>
      <c r="E178" s="423"/>
      <c r="F178" s="423"/>
      <c r="G178" s="423"/>
      <c r="H178" s="423"/>
      <c r="I178" s="423"/>
      <c r="J178" s="423"/>
      <c r="K178" s="423"/>
      <c r="L178" s="423"/>
      <c r="M178" s="423"/>
      <c r="N178" s="423"/>
      <c r="O178" s="423"/>
      <c r="P178" s="423"/>
      <c r="Q178" s="423"/>
      <c r="R178" s="423"/>
      <c r="S178" s="423"/>
      <c r="T178" s="423"/>
      <c r="U178" s="423"/>
      <c r="V178" s="423"/>
      <c r="W178" s="423"/>
    </row>
    <row r="179" spans="1:23" ht="15" customHeight="1">
      <c r="A179" s="422"/>
      <c r="B179" s="423"/>
      <c r="C179" s="423"/>
      <c r="D179" s="423"/>
      <c r="E179" s="423"/>
      <c r="F179" s="423"/>
      <c r="G179" s="423"/>
      <c r="H179" s="423"/>
      <c r="I179" s="423"/>
      <c r="J179" s="423"/>
      <c r="K179" s="423"/>
      <c r="L179" s="423"/>
      <c r="M179" s="423"/>
      <c r="N179" s="423"/>
      <c r="O179" s="423"/>
      <c r="P179" s="423"/>
      <c r="Q179" s="423"/>
      <c r="R179" s="423"/>
      <c r="S179" s="423"/>
      <c r="T179" s="423"/>
      <c r="U179" s="423"/>
      <c r="V179" s="423"/>
      <c r="W179" s="423"/>
    </row>
    <row r="180" spans="1:23" ht="15" customHeight="1">
      <c r="A180" s="422"/>
      <c r="S180" s="423"/>
      <c r="T180" s="423"/>
      <c r="U180" s="423"/>
      <c r="V180" s="423"/>
      <c r="W180" s="423"/>
    </row>
    <row r="181" spans="1:23" ht="15" customHeight="1">
      <c r="A181" s="422"/>
      <c r="S181" s="423"/>
      <c r="T181" s="423"/>
      <c r="U181" s="423"/>
      <c r="V181" s="423"/>
      <c r="W181" s="423"/>
    </row>
    <row r="182" spans="1:23" ht="15" customHeight="1">
      <c r="A182" s="422"/>
      <c r="S182" s="423"/>
      <c r="T182" s="423"/>
      <c r="U182" s="423"/>
      <c r="V182" s="423"/>
      <c r="W182" s="423"/>
    </row>
    <row r="183" spans="1:23" ht="15" customHeight="1">
      <c r="A183" s="422"/>
      <c r="S183" s="423"/>
      <c r="T183" s="423"/>
      <c r="U183" s="423"/>
      <c r="V183" s="423"/>
      <c r="W183" s="423"/>
    </row>
    <row r="184" spans="1:23" ht="15" customHeight="1">
      <c r="A184" s="422"/>
      <c r="S184" s="423"/>
      <c r="T184" s="423"/>
      <c r="U184" s="423"/>
      <c r="V184" s="423"/>
      <c r="W184" s="423"/>
    </row>
    <row r="185" spans="1:23" ht="15" customHeight="1">
      <c r="A185" s="422"/>
      <c r="S185" s="423"/>
      <c r="T185" s="423"/>
      <c r="U185" s="423"/>
      <c r="V185" s="423"/>
      <c r="W185" s="423"/>
    </row>
    <row r="186" spans="1:23" ht="15" customHeight="1">
      <c r="A186" s="422"/>
      <c r="S186" s="423"/>
      <c r="T186" s="423"/>
      <c r="U186" s="423"/>
      <c r="V186" s="423"/>
      <c r="W186" s="423"/>
    </row>
    <row r="187" spans="1:23" ht="15" customHeight="1">
      <c r="A187" s="422"/>
      <c r="S187" s="423"/>
      <c r="T187" s="423"/>
      <c r="U187" s="423"/>
      <c r="V187" s="423"/>
      <c r="W187" s="423"/>
    </row>
    <row r="188" spans="1:23" ht="15" customHeight="1">
      <c r="A188" s="422"/>
      <c r="S188" s="423"/>
      <c r="T188" s="423"/>
      <c r="U188" s="423"/>
      <c r="V188" s="423"/>
      <c r="W188" s="423"/>
    </row>
    <row r="189" spans="1:23" ht="15" customHeight="1">
      <c r="A189" s="422"/>
      <c r="S189" s="423"/>
      <c r="T189" s="423"/>
      <c r="U189" s="423"/>
      <c r="V189" s="423"/>
      <c r="W189" s="423"/>
    </row>
    <row r="190" spans="1:23" ht="15" customHeight="1">
      <c r="A190" s="422"/>
      <c r="S190" s="423"/>
      <c r="T190" s="423"/>
      <c r="U190" s="423"/>
      <c r="V190" s="423"/>
      <c r="W190" s="423"/>
    </row>
    <row r="191" spans="1:23" ht="15" customHeight="1">
      <c r="A191" s="422"/>
      <c r="S191" s="423"/>
      <c r="T191" s="423"/>
      <c r="U191" s="423"/>
      <c r="V191" s="423"/>
      <c r="W191" s="423"/>
    </row>
    <row r="192" spans="1:23" ht="15" customHeight="1">
      <c r="A192" s="422"/>
      <c r="S192" s="423"/>
      <c r="T192" s="423"/>
      <c r="U192" s="423"/>
      <c r="V192" s="423"/>
      <c r="W192" s="423"/>
    </row>
    <row r="193" spans="1:23" ht="15" customHeight="1">
      <c r="A193" s="422"/>
      <c r="S193" s="423"/>
      <c r="T193" s="423"/>
      <c r="U193" s="423"/>
      <c r="V193" s="423"/>
      <c r="W193" s="423"/>
    </row>
    <row r="194" spans="1:23" ht="15" customHeight="1">
      <c r="A194" s="422"/>
      <c r="S194" s="423"/>
      <c r="T194" s="423"/>
      <c r="U194" s="423"/>
      <c r="V194" s="423"/>
      <c r="W194" s="423"/>
    </row>
    <row r="195" spans="1:23" ht="15" customHeight="1">
      <c r="A195" s="422"/>
      <c r="S195" s="423"/>
      <c r="T195" s="423"/>
      <c r="U195" s="423"/>
      <c r="V195" s="423"/>
      <c r="W195" s="423"/>
    </row>
    <row r="196" spans="1:23" ht="15" customHeight="1">
      <c r="A196" s="422"/>
      <c r="S196" s="423"/>
      <c r="T196" s="423"/>
      <c r="U196" s="423"/>
      <c r="V196" s="423"/>
      <c r="W196" s="423"/>
    </row>
    <row r="197" spans="1:23" ht="15" customHeight="1">
      <c r="A197" s="422"/>
      <c r="B197" s="423"/>
      <c r="C197" s="423"/>
      <c r="D197" s="423"/>
      <c r="E197" s="423"/>
      <c r="F197" s="423"/>
      <c r="G197" s="423"/>
      <c r="H197" s="423"/>
      <c r="I197" s="423"/>
      <c r="J197" s="423"/>
      <c r="K197" s="423"/>
      <c r="L197" s="423"/>
      <c r="M197" s="423"/>
      <c r="N197" s="423"/>
      <c r="O197" s="423"/>
      <c r="P197" s="423"/>
      <c r="Q197" s="423"/>
      <c r="R197" s="423"/>
      <c r="S197" s="423"/>
      <c r="T197" s="423"/>
      <c r="U197" s="423"/>
      <c r="V197" s="423"/>
      <c r="W197" s="423"/>
    </row>
    <row r="198" spans="1:23" ht="15" customHeight="1">
      <c r="A198" s="422"/>
      <c r="B198" s="423"/>
      <c r="C198" s="423"/>
      <c r="D198" s="423"/>
      <c r="E198" s="423"/>
      <c r="F198" s="423"/>
      <c r="G198" s="423"/>
      <c r="H198" s="423"/>
      <c r="I198" s="423"/>
      <c r="J198" s="423"/>
      <c r="K198" s="423"/>
      <c r="L198" s="423"/>
      <c r="M198" s="423"/>
      <c r="N198" s="423"/>
      <c r="O198" s="423"/>
      <c r="P198" s="423"/>
      <c r="Q198" s="423"/>
      <c r="R198" s="423"/>
      <c r="S198" s="423"/>
      <c r="T198" s="423"/>
      <c r="U198" s="423"/>
      <c r="V198" s="423"/>
      <c r="W198" s="423"/>
    </row>
    <row r="199" spans="1:23" ht="15" customHeight="1">
      <c r="A199" s="422"/>
      <c r="B199" s="423"/>
      <c r="C199" s="423"/>
      <c r="D199" s="423"/>
      <c r="E199" s="423"/>
      <c r="F199" s="423"/>
      <c r="G199" s="423"/>
      <c r="H199" s="423"/>
      <c r="I199" s="423"/>
      <c r="J199" s="423"/>
      <c r="K199" s="423"/>
      <c r="L199" s="423"/>
      <c r="M199" s="423"/>
      <c r="N199" s="423"/>
      <c r="O199" s="423"/>
      <c r="P199" s="423"/>
      <c r="Q199" s="423"/>
      <c r="R199" s="423"/>
      <c r="S199" s="423"/>
      <c r="T199" s="423"/>
      <c r="U199" s="423"/>
      <c r="V199" s="423"/>
      <c r="W199" s="423"/>
    </row>
    <row r="200" spans="1:23" ht="15" customHeight="1">
      <c r="A200" s="422"/>
      <c r="B200" s="423"/>
      <c r="C200" s="423"/>
      <c r="D200" s="423"/>
      <c r="E200" s="423"/>
      <c r="F200" s="423"/>
      <c r="G200" s="423"/>
      <c r="H200" s="423"/>
      <c r="I200" s="423"/>
      <c r="J200" s="423"/>
      <c r="K200" s="423"/>
      <c r="L200" s="423"/>
      <c r="M200" s="423"/>
      <c r="N200" s="423"/>
      <c r="O200" s="423"/>
      <c r="P200" s="423"/>
      <c r="Q200" s="423"/>
      <c r="R200" s="423"/>
      <c r="S200" s="423"/>
      <c r="T200" s="423"/>
      <c r="U200" s="423"/>
      <c r="V200" s="423"/>
      <c r="W200" s="423"/>
    </row>
    <row r="201" spans="1:23" ht="15" customHeight="1">
      <c r="A201" s="422"/>
      <c r="B201" s="423"/>
      <c r="C201" s="423"/>
      <c r="D201" s="423"/>
      <c r="E201" s="423"/>
      <c r="F201" s="423"/>
      <c r="G201" s="423"/>
      <c r="H201" s="423"/>
      <c r="I201" s="423"/>
      <c r="J201" s="423"/>
      <c r="K201" s="423"/>
      <c r="L201" s="423"/>
      <c r="M201" s="423"/>
      <c r="N201" s="423"/>
      <c r="O201" s="423"/>
      <c r="P201" s="423"/>
      <c r="Q201" s="423"/>
      <c r="R201" s="423"/>
      <c r="S201" s="423"/>
      <c r="T201" s="423"/>
      <c r="U201" s="423"/>
      <c r="V201" s="423"/>
      <c r="W201" s="423"/>
    </row>
    <row r="202" spans="1:23" ht="15" customHeight="1">
      <c r="A202" s="422"/>
      <c r="B202" s="423"/>
      <c r="C202" s="423"/>
      <c r="D202" s="423"/>
      <c r="E202" s="423"/>
      <c r="F202" s="423"/>
      <c r="G202" s="423"/>
      <c r="H202" s="423"/>
      <c r="I202" s="423"/>
      <c r="J202" s="423"/>
      <c r="K202" s="423"/>
      <c r="L202" s="423"/>
      <c r="M202" s="423"/>
      <c r="N202" s="423"/>
      <c r="O202" s="423"/>
      <c r="P202" s="423"/>
      <c r="Q202" s="423"/>
      <c r="R202" s="423"/>
      <c r="S202" s="423"/>
      <c r="T202" s="423"/>
      <c r="U202" s="423"/>
      <c r="V202" s="423"/>
      <c r="W202" s="423"/>
    </row>
    <row r="203" spans="1:23" ht="15" customHeight="1">
      <c r="A203" s="422"/>
      <c r="B203" s="423"/>
      <c r="C203" s="423"/>
      <c r="D203" s="423"/>
      <c r="E203" s="423"/>
      <c r="F203" s="423"/>
      <c r="G203" s="423"/>
      <c r="H203" s="423"/>
      <c r="I203" s="423"/>
      <c r="J203" s="423"/>
      <c r="K203" s="423"/>
      <c r="L203" s="423"/>
      <c r="M203" s="423"/>
      <c r="N203" s="423"/>
      <c r="O203" s="423"/>
      <c r="P203" s="423"/>
      <c r="Q203" s="423"/>
      <c r="R203" s="423"/>
      <c r="S203" s="423"/>
      <c r="T203" s="423"/>
      <c r="U203" s="423"/>
      <c r="V203" s="423"/>
      <c r="W203" s="423"/>
    </row>
    <row r="204" spans="1:23" ht="15" customHeight="1">
      <c r="A204" s="422"/>
      <c r="B204" s="423"/>
      <c r="C204" s="423"/>
      <c r="D204" s="423"/>
      <c r="E204" s="423"/>
      <c r="F204" s="423"/>
      <c r="G204" s="423"/>
      <c r="H204" s="423"/>
      <c r="I204" s="423"/>
      <c r="J204" s="423"/>
      <c r="K204" s="423"/>
      <c r="L204" s="423"/>
      <c r="M204" s="423"/>
      <c r="N204" s="423"/>
      <c r="O204" s="423"/>
      <c r="P204" s="423"/>
      <c r="Q204" s="423"/>
      <c r="R204" s="423"/>
      <c r="S204" s="423"/>
      <c r="T204" s="423"/>
      <c r="U204" s="423"/>
      <c r="V204" s="423"/>
      <c r="W204" s="423"/>
    </row>
    <row r="205" spans="1:23" ht="15" customHeight="1">
      <c r="A205" s="422"/>
      <c r="B205" s="423"/>
      <c r="C205" s="423"/>
      <c r="D205" s="423"/>
      <c r="E205" s="423"/>
      <c r="F205" s="423"/>
      <c r="G205" s="423"/>
      <c r="H205" s="423"/>
      <c r="I205" s="423"/>
      <c r="J205" s="423"/>
      <c r="K205" s="423"/>
      <c r="L205" s="423"/>
      <c r="M205" s="423"/>
      <c r="N205" s="423"/>
      <c r="O205" s="423"/>
      <c r="P205" s="423"/>
      <c r="Q205" s="423"/>
      <c r="R205" s="423"/>
      <c r="S205" s="423"/>
      <c r="T205" s="423"/>
      <c r="U205" s="423"/>
      <c r="V205" s="423"/>
      <c r="W205" s="423"/>
    </row>
    <row r="206" spans="1:23" ht="15" customHeight="1">
      <c r="A206" s="422"/>
      <c r="B206" s="423"/>
      <c r="C206" s="423"/>
      <c r="D206" s="423"/>
      <c r="E206" s="423"/>
      <c r="F206" s="423"/>
      <c r="G206" s="423"/>
      <c r="H206" s="423"/>
      <c r="I206" s="423"/>
      <c r="J206" s="423"/>
      <c r="K206" s="423"/>
      <c r="L206" s="423"/>
      <c r="M206" s="423"/>
      <c r="N206" s="423"/>
      <c r="O206" s="423"/>
      <c r="P206" s="423"/>
      <c r="Q206" s="423"/>
      <c r="R206" s="423"/>
      <c r="S206" s="423"/>
      <c r="T206" s="423"/>
      <c r="U206" s="423"/>
      <c r="V206" s="423"/>
      <c r="W206" s="423"/>
    </row>
    <row r="207" spans="1:23" ht="15" customHeight="1">
      <c r="A207" s="422"/>
      <c r="B207" s="423"/>
      <c r="C207" s="423"/>
      <c r="D207" s="423"/>
      <c r="E207" s="423"/>
      <c r="F207" s="423"/>
      <c r="G207" s="423"/>
      <c r="H207" s="423"/>
      <c r="I207" s="423"/>
      <c r="J207" s="423"/>
      <c r="K207" s="423"/>
      <c r="L207" s="423"/>
      <c r="M207" s="423"/>
      <c r="N207" s="423"/>
      <c r="O207" s="423"/>
      <c r="P207" s="423"/>
      <c r="Q207" s="423"/>
      <c r="R207" s="423"/>
      <c r="S207" s="423"/>
      <c r="T207" s="423"/>
      <c r="U207" s="423"/>
      <c r="V207" s="423"/>
      <c r="W207" s="423"/>
    </row>
    <row r="208" spans="1:23" ht="15" customHeight="1">
      <c r="A208" s="422"/>
      <c r="B208" s="423"/>
      <c r="C208" s="423"/>
      <c r="D208" s="423"/>
      <c r="E208" s="423"/>
      <c r="F208" s="423"/>
      <c r="G208" s="423"/>
      <c r="H208" s="423"/>
      <c r="I208" s="423"/>
      <c r="J208" s="423"/>
      <c r="K208" s="423"/>
      <c r="L208" s="423"/>
      <c r="M208" s="423"/>
      <c r="N208" s="423"/>
      <c r="O208" s="423"/>
      <c r="P208" s="423"/>
      <c r="Q208" s="423"/>
      <c r="R208" s="423"/>
      <c r="S208" s="423"/>
      <c r="T208" s="423"/>
      <c r="U208" s="423"/>
      <c r="V208" s="423"/>
      <c r="W208" s="423"/>
    </row>
    <row r="209" spans="1:23" ht="15" customHeight="1">
      <c r="A209" s="422"/>
      <c r="B209" s="423"/>
      <c r="C209" s="423"/>
      <c r="D209" s="423"/>
      <c r="E209" s="423"/>
      <c r="F209" s="423"/>
      <c r="G209" s="423"/>
      <c r="H209" s="423"/>
      <c r="I209" s="423"/>
      <c r="J209" s="423"/>
      <c r="K209" s="423"/>
      <c r="L209" s="423"/>
      <c r="M209" s="423"/>
      <c r="N209" s="423"/>
      <c r="O209" s="423"/>
      <c r="P209" s="423"/>
      <c r="Q209" s="423"/>
      <c r="R209" s="423"/>
      <c r="S209" s="423"/>
      <c r="T209" s="423"/>
      <c r="U209" s="423"/>
      <c r="V209" s="423"/>
      <c r="W209" s="423"/>
    </row>
    <row r="210" spans="1:23" ht="15" customHeight="1">
      <c r="A210" s="422"/>
      <c r="B210" s="423"/>
      <c r="C210" s="423"/>
      <c r="D210" s="423"/>
      <c r="E210" s="423"/>
      <c r="F210" s="423"/>
      <c r="G210" s="423"/>
      <c r="H210" s="423"/>
      <c r="I210" s="423"/>
      <c r="J210" s="423"/>
      <c r="K210" s="423"/>
      <c r="L210" s="423"/>
      <c r="M210" s="423"/>
      <c r="N210" s="423"/>
      <c r="O210" s="423"/>
      <c r="P210" s="423"/>
      <c r="Q210" s="423"/>
      <c r="R210" s="423"/>
      <c r="S210" s="423"/>
      <c r="T210" s="423"/>
      <c r="U210" s="423"/>
      <c r="V210" s="423"/>
      <c r="W210" s="423"/>
    </row>
    <row r="211" spans="1:23" ht="15" customHeight="1">
      <c r="A211" s="422"/>
      <c r="B211" s="423"/>
      <c r="C211" s="423"/>
      <c r="D211" s="423"/>
      <c r="E211" s="423"/>
      <c r="F211" s="423"/>
      <c r="G211" s="423"/>
      <c r="H211" s="423"/>
      <c r="I211" s="423"/>
      <c r="J211" s="423"/>
      <c r="K211" s="423"/>
      <c r="L211" s="423"/>
      <c r="M211" s="423"/>
      <c r="N211" s="423"/>
      <c r="O211" s="423"/>
      <c r="P211" s="423"/>
      <c r="Q211" s="423"/>
      <c r="R211" s="423"/>
      <c r="S211" s="423"/>
      <c r="T211" s="423"/>
      <c r="U211" s="423"/>
      <c r="V211" s="423"/>
      <c r="W211" s="423"/>
    </row>
    <row r="212" spans="1:23" ht="15" customHeight="1">
      <c r="A212" s="422"/>
      <c r="B212" s="423"/>
      <c r="C212" s="423"/>
      <c r="D212" s="423"/>
      <c r="E212" s="423"/>
      <c r="F212" s="423"/>
      <c r="G212" s="423"/>
      <c r="H212" s="423"/>
      <c r="I212" s="423"/>
      <c r="J212" s="423"/>
      <c r="K212" s="423"/>
      <c r="L212" s="423"/>
      <c r="M212" s="423"/>
      <c r="N212" s="423"/>
      <c r="O212" s="423"/>
      <c r="P212" s="423"/>
      <c r="Q212" s="423"/>
      <c r="R212" s="423"/>
      <c r="S212" s="423"/>
      <c r="T212" s="423"/>
      <c r="U212" s="423"/>
      <c r="V212" s="423"/>
      <c r="W212" s="423"/>
    </row>
    <row r="213" spans="1:23" ht="15" customHeight="1">
      <c r="A213" s="422"/>
      <c r="B213" s="423"/>
      <c r="C213" s="423"/>
      <c r="D213" s="423"/>
      <c r="E213" s="423"/>
      <c r="F213" s="423"/>
      <c r="G213" s="423"/>
      <c r="H213" s="423"/>
      <c r="I213" s="423"/>
      <c r="J213" s="423"/>
      <c r="K213" s="423"/>
      <c r="L213" s="423"/>
      <c r="M213" s="423"/>
      <c r="N213" s="423"/>
      <c r="O213" s="423"/>
      <c r="P213" s="423"/>
      <c r="Q213" s="423"/>
      <c r="R213" s="423"/>
      <c r="S213" s="423"/>
      <c r="T213" s="423"/>
      <c r="U213" s="423"/>
      <c r="V213" s="423"/>
      <c r="W213" s="423"/>
    </row>
    <row r="214" spans="1:23" ht="15" customHeight="1">
      <c r="A214" s="422"/>
      <c r="B214" s="423"/>
      <c r="C214" s="423"/>
      <c r="D214" s="423"/>
      <c r="E214" s="423"/>
      <c r="F214" s="423"/>
      <c r="G214" s="423"/>
      <c r="H214" s="423"/>
      <c r="I214" s="423"/>
      <c r="J214" s="423"/>
      <c r="K214" s="423"/>
      <c r="L214" s="423"/>
      <c r="M214" s="423"/>
      <c r="N214" s="423"/>
      <c r="O214" s="423"/>
      <c r="P214" s="423"/>
      <c r="Q214" s="423"/>
      <c r="R214" s="423"/>
      <c r="S214" s="423"/>
      <c r="T214" s="423"/>
      <c r="U214" s="423"/>
      <c r="V214" s="423"/>
      <c r="W214" s="423"/>
    </row>
    <row r="215" spans="1:23" ht="15" customHeight="1">
      <c r="A215" s="422"/>
      <c r="B215" s="423"/>
      <c r="C215" s="423"/>
      <c r="D215" s="423"/>
      <c r="E215" s="423"/>
      <c r="F215" s="423"/>
      <c r="G215" s="423"/>
      <c r="H215" s="423"/>
      <c r="I215" s="423"/>
      <c r="J215" s="423"/>
      <c r="K215" s="423"/>
      <c r="L215" s="423"/>
      <c r="M215" s="423"/>
      <c r="N215" s="423"/>
      <c r="O215" s="423"/>
      <c r="P215" s="423"/>
      <c r="Q215" s="423"/>
      <c r="R215" s="423"/>
      <c r="S215" s="423"/>
      <c r="T215" s="423"/>
      <c r="U215" s="423"/>
      <c r="V215" s="423"/>
      <c r="W215" s="423"/>
    </row>
    <row r="216" spans="1:23" ht="15" customHeight="1">
      <c r="A216" s="422"/>
      <c r="B216" s="423"/>
      <c r="C216" s="423"/>
      <c r="D216" s="423"/>
      <c r="E216" s="423"/>
      <c r="F216" s="423"/>
      <c r="G216" s="423"/>
      <c r="H216" s="423"/>
      <c r="I216" s="423"/>
      <c r="J216" s="423"/>
      <c r="K216" s="423"/>
      <c r="L216" s="423"/>
      <c r="M216" s="423"/>
      <c r="N216" s="423"/>
      <c r="O216" s="423"/>
      <c r="P216" s="423"/>
      <c r="Q216" s="423"/>
      <c r="R216" s="423"/>
      <c r="S216" s="423"/>
      <c r="T216" s="423"/>
      <c r="U216" s="423"/>
      <c r="V216" s="423"/>
      <c r="W216" s="423"/>
    </row>
    <row r="217" spans="1:23" ht="15" customHeight="1">
      <c r="A217" s="422"/>
      <c r="B217" s="423"/>
      <c r="C217" s="423"/>
      <c r="D217" s="423"/>
      <c r="E217" s="423"/>
      <c r="F217" s="423"/>
      <c r="G217" s="423"/>
      <c r="H217" s="423"/>
      <c r="I217" s="423"/>
      <c r="J217" s="423"/>
      <c r="K217" s="423"/>
      <c r="L217" s="423"/>
      <c r="M217" s="423"/>
      <c r="N217" s="423"/>
      <c r="O217" s="423"/>
      <c r="P217" s="423"/>
      <c r="Q217" s="423"/>
      <c r="R217" s="423"/>
      <c r="S217" s="423"/>
      <c r="T217" s="423"/>
      <c r="U217" s="423"/>
      <c r="V217" s="423"/>
      <c r="W217" s="423"/>
    </row>
    <row r="218" spans="1:23" ht="15" customHeight="1">
      <c r="A218" s="422"/>
      <c r="B218" s="423"/>
      <c r="C218" s="423"/>
      <c r="D218" s="423"/>
      <c r="E218" s="423"/>
      <c r="F218" s="423"/>
      <c r="G218" s="423"/>
      <c r="H218" s="423"/>
      <c r="I218" s="423"/>
      <c r="J218" s="423"/>
      <c r="K218" s="423"/>
      <c r="L218" s="423"/>
      <c r="M218" s="423"/>
      <c r="N218" s="423"/>
      <c r="O218" s="423"/>
      <c r="P218" s="423"/>
      <c r="Q218" s="423"/>
      <c r="R218" s="423"/>
      <c r="S218" s="423"/>
      <c r="T218" s="423"/>
      <c r="U218" s="423"/>
      <c r="V218" s="423"/>
      <c r="W218" s="423"/>
    </row>
    <row r="219" spans="1:23" ht="15" customHeight="1">
      <c r="A219" s="422"/>
      <c r="B219" s="423"/>
      <c r="C219" s="423"/>
      <c r="D219" s="423"/>
      <c r="E219" s="423"/>
      <c r="F219" s="423"/>
      <c r="G219" s="423"/>
      <c r="H219" s="423"/>
      <c r="I219" s="423"/>
      <c r="J219" s="423"/>
      <c r="K219" s="423"/>
      <c r="L219" s="423"/>
      <c r="M219" s="423"/>
      <c r="N219" s="423"/>
      <c r="O219" s="423"/>
      <c r="P219" s="423"/>
      <c r="Q219" s="423"/>
      <c r="R219" s="423"/>
      <c r="S219" s="423"/>
      <c r="T219" s="423"/>
      <c r="U219" s="423"/>
      <c r="V219" s="423"/>
      <c r="W219" s="423"/>
    </row>
    <row r="220" spans="1:23" ht="15" customHeight="1">
      <c r="A220" s="422"/>
      <c r="B220" s="423"/>
      <c r="C220" s="423"/>
      <c r="D220" s="423"/>
      <c r="E220" s="423"/>
      <c r="F220" s="423"/>
      <c r="G220" s="423"/>
      <c r="H220" s="423"/>
      <c r="I220" s="423"/>
      <c r="J220" s="423"/>
      <c r="K220" s="423"/>
      <c r="L220" s="423"/>
      <c r="M220" s="423"/>
      <c r="N220" s="423"/>
      <c r="O220" s="423"/>
      <c r="P220" s="423"/>
      <c r="Q220" s="423"/>
      <c r="R220" s="423"/>
      <c r="S220" s="423"/>
      <c r="T220" s="423"/>
      <c r="U220" s="423"/>
      <c r="V220" s="423"/>
      <c r="W220" s="423"/>
    </row>
    <row r="221" spans="1:23" ht="15" customHeight="1">
      <c r="A221" s="422"/>
      <c r="B221" s="423"/>
      <c r="C221" s="423"/>
      <c r="D221" s="423"/>
      <c r="E221" s="423"/>
      <c r="F221" s="423"/>
      <c r="G221" s="423"/>
      <c r="H221" s="423"/>
      <c r="I221" s="423"/>
      <c r="J221" s="423"/>
      <c r="K221" s="423"/>
      <c r="L221" s="423"/>
      <c r="M221" s="423"/>
      <c r="N221" s="423"/>
      <c r="O221" s="423"/>
      <c r="P221" s="423"/>
      <c r="Q221" s="423"/>
      <c r="R221" s="423"/>
      <c r="S221" s="423"/>
      <c r="T221" s="423"/>
      <c r="U221" s="423"/>
      <c r="V221" s="423"/>
      <c r="W221" s="423"/>
    </row>
    <row r="222" spans="1:23" ht="15" customHeight="1">
      <c r="A222" s="422"/>
      <c r="B222" s="423"/>
      <c r="C222" s="423"/>
      <c r="D222" s="423"/>
      <c r="E222" s="423"/>
      <c r="F222" s="423"/>
      <c r="G222" s="423"/>
      <c r="H222" s="423"/>
      <c r="I222" s="423"/>
      <c r="J222" s="423"/>
      <c r="K222" s="423"/>
      <c r="L222" s="423"/>
      <c r="M222" s="423"/>
      <c r="N222" s="423"/>
      <c r="O222" s="423"/>
      <c r="P222" s="423"/>
      <c r="Q222" s="423"/>
      <c r="R222" s="423"/>
      <c r="S222" s="423"/>
      <c r="T222" s="423"/>
      <c r="U222" s="423"/>
      <c r="V222" s="423"/>
      <c r="W222" s="423"/>
    </row>
    <row r="223" spans="1:23" ht="15" customHeight="1">
      <c r="A223" s="422"/>
      <c r="B223" s="423"/>
      <c r="C223" s="423"/>
      <c r="D223" s="423"/>
      <c r="E223" s="423"/>
      <c r="F223" s="423"/>
      <c r="G223" s="423"/>
      <c r="H223" s="423"/>
      <c r="I223" s="423"/>
      <c r="J223" s="423"/>
      <c r="K223" s="423"/>
      <c r="L223" s="423"/>
      <c r="M223" s="423"/>
      <c r="N223" s="423"/>
      <c r="O223" s="423"/>
      <c r="P223" s="423"/>
      <c r="Q223" s="423"/>
      <c r="R223" s="423"/>
      <c r="S223" s="423"/>
      <c r="T223" s="423"/>
      <c r="U223" s="423"/>
      <c r="V223" s="423"/>
      <c r="W223" s="423"/>
    </row>
    <row r="224" spans="1:23" ht="15" customHeight="1">
      <c r="A224" s="422"/>
      <c r="B224" s="423"/>
      <c r="C224" s="423"/>
      <c r="D224" s="423"/>
      <c r="E224" s="423"/>
      <c r="F224" s="423"/>
      <c r="G224" s="423"/>
      <c r="H224" s="423"/>
      <c r="I224" s="423"/>
      <c r="J224" s="423"/>
      <c r="K224" s="423"/>
      <c r="L224" s="423"/>
      <c r="M224" s="423"/>
      <c r="N224" s="423"/>
      <c r="O224" s="423"/>
      <c r="P224" s="423"/>
      <c r="Q224" s="423"/>
      <c r="R224" s="423"/>
      <c r="S224" s="423"/>
      <c r="T224" s="423"/>
      <c r="U224" s="423"/>
      <c r="V224" s="423"/>
      <c r="W224" s="423"/>
    </row>
    <row r="225" spans="1:23" ht="15" customHeight="1">
      <c r="A225" s="422"/>
      <c r="B225" s="423"/>
      <c r="C225" s="423"/>
      <c r="D225" s="423"/>
      <c r="E225" s="423"/>
      <c r="F225" s="423"/>
      <c r="G225" s="423"/>
      <c r="H225" s="423"/>
      <c r="I225" s="423"/>
      <c r="J225" s="423"/>
      <c r="K225" s="423"/>
      <c r="L225" s="423"/>
      <c r="M225" s="423"/>
      <c r="N225" s="423"/>
      <c r="O225" s="423"/>
      <c r="P225" s="423"/>
      <c r="Q225" s="423"/>
      <c r="R225" s="423"/>
      <c r="S225" s="423"/>
      <c r="T225" s="423"/>
      <c r="U225" s="423"/>
      <c r="V225" s="423"/>
      <c r="W225" s="423"/>
    </row>
    <row r="226" spans="1:23" ht="15" customHeight="1">
      <c r="A226" s="422"/>
      <c r="B226" s="423"/>
      <c r="C226" s="423"/>
      <c r="D226" s="423"/>
      <c r="E226" s="423"/>
      <c r="F226" s="423"/>
      <c r="G226" s="423"/>
      <c r="H226" s="423"/>
      <c r="I226" s="423"/>
      <c r="J226" s="423"/>
      <c r="K226" s="423"/>
      <c r="L226" s="423"/>
      <c r="M226" s="423"/>
      <c r="N226" s="423"/>
      <c r="O226" s="423"/>
      <c r="P226" s="423"/>
      <c r="Q226" s="423"/>
      <c r="R226" s="423"/>
      <c r="S226" s="423"/>
      <c r="T226" s="423"/>
      <c r="U226" s="423"/>
      <c r="V226" s="423"/>
      <c r="W226" s="423"/>
    </row>
    <row r="227" spans="1:23" ht="15" customHeight="1">
      <c r="A227" s="422"/>
      <c r="B227" s="423"/>
      <c r="C227" s="423"/>
      <c r="D227" s="423"/>
      <c r="E227" s="423"/>
      <c r="F227" s="423"/>
      <c r="G227" s="423"/>
      <c r="H227" s="423"/>
      <c r="I227" s="423"/>
      <c r="J227" s="423"/>
      <c r="K227" s="423"/>
      <c r="L227" s="423"/>
      <c r="M227" s="423"/>
      <c r="N227" s="423"/>
      <c r="O227" s="423"/>
      <c r="P227" s="423"/>
      <c r="Q227" s="423"/>
      <c r="R227" s="423"/>
      <c r="S227" s="423"/>
      <c r="T227" s="423"/>
      <c r="U227" s="423"/>
      <c r="V227" s="423"/>
      <c r="W227" s="423"/>
    </row>
    <row r="228" spans="1:23" ht="15" customHeight="1">
      <c r="A228" s="422"/>
      <c r="B228" s="423"/>
      <c r="C228" s="423"/>
      <c r="D228" s="423"/>
      <c r="E228" s="423"/>
      <c r="F228" s="423"/>
      <c r="G228" s="423"/>
      <c r="H228" s="423"/>
      <c r="I228" s="423"/>
      <c r="J228" s="423"/>
      <c r="K228" s="423"/>
      <c r="L228" s="423"/>
      <c r="M228" s="423"/>
      <c r="N228" s="423"/>
      <c r="O228" s="423"/>
      <c r="P228" s="423"/>
      <c r="Q228" s="423"/>
      <c r="R228" s="423"/>
      <c r="S228" s="423"/>
      <c r="T228" s="423"/>
      <c r="U228" s="423"/>
      <c r="V228" s="423"/>
      <c r="W228" s="423"/>
    </row>
    <row r="229" spans="1:23" ht="15" customHeight="1">
      <c r="A229" s="422"/>
      <c r="B229" s="423"/>
      <c r="C229" s="423"/>
      <c r="D229" s="423"/>
      <c r="E229" s="423"/>
      <c r="F229" s="423"/>
      <c r="G229" s="423"/>
      <c r="H229" s="423"/>
      <c r="I229" s="423"/>
      <c r="J229" s="423"/>
      <c r="K229" s="423"/>
      <c r="L229" s="423"/>
      <c r="M229" s="423"/>
      <c r="N229" s="423"/>
      <c r="O229" s="423"/>
      <c r="P229" s="423"/>
      <c r="Q229" s="423"/>
      <c r="R229" s="423"/>
      <c r="S229" s="423"/>
      <c r="T229" s="423"/>
      <c r="U229" s="423"/>
      <c r="V229" s="423"/>
      <c r="W229" s="423"/>
    </row>
    <row r="230" spans="1:23" ht="15" customHeight="1">
      <c r="A230" s="422"/>
      <c r="B230" s="423"/>
      <c r="C230" s="423"/>
      <c r="D230" s="423"/>
      <c r="E230" s="423"/>
      <c r="F230" s="423"/>
      <c r="G230" s="423"/>
      <c r="H230" s="423"/>
      <c r="I230" s="423"/>
      <c r="J230" s="423"/>
      <c r="K230" s="423"/>
      <c r="L230" s="423"/>
      <c r="M230" s="423"/>
      <c r="N230" s="423"/>
      <c r="O230" s="423"/>
      <c r="P230" s="423"/>
      <c r="Q230" s="423"/>
      <c r="R230" s="423"/>
      <c r="S230" s="423"/>
      <c r="T230" s="423"/>
      <c r="U230" s="423"/>
      <c r="V230" s="423"/>
      <c r="W230" s="423"/>
    </row>
    <row r="231" spans="1:23" ht="15" customHeight="1">
      <c r="A231" s="422"/>
      <c r="B231" s="423"/>
      <c r="C231" s="423"/>
      <c r="D231" s="423"/>
      <c r="E231" s="423"/>
      <c r="F231" s="423"/>
      <c r="G231" s="423"/>
      <c r="H231" s="423"/>
      <c r="I231" s="423"/>
      <c r="J231" s="423"/>
      <c r="K231" s="423"/>
      <c r="L231" s="423"/>
      <c r="M231" s="423"/>
      <c r="N231" s="423"/>
      <c r="O231" s="423"/>
      <c r="P231" s="423"/>
      <c r="Q231" s="423"/>
      <c r="R231" s="423"/>
      <c r="S231" s="423"/>
      <c r="T231" s="423"/>
      <c r="U231" s="423"/>
      <c r="V231" s="423"/>
      <c r="W231" s="423"/>
    </row>
    <row r="232" spans="1:23" ht="15" customHeight="1">
      <c r="A232" s="422"/>
      <c r="B232" s="423"/>
      <c r="C232" s="423"/>
      <c r="D232" s="423"/>
      <c r="E232" s="423"/>
      <c r="F232" s="423"/>
      <c r="G232" s="423"/>
      <c r="H232" s="423"/>
      <c r="I232" s="423"/>
      <c r="J232" s="423"/>
      <c r="K232" s="423"/>
      <c r="L232" s="423"/>
      <c r="M232" s="423"/>
      <c r="N232" s="423"/>
      <c r="O232" s="423"/>
      <c r="P232" s="423"/>
      <c r="Q232" s="423"/>
      <c r="R232" s="423"/>
      <c r="S232" s="423"/>
      <c r="T232" s="423"/>
      <c r="U232" s="423"/>
      <c r="V232" s="423"/>
      <c r="W232" s="423"/>
    </row>
    <row r="233" spans="1:23" ht="15" customHeight="1">
      <c r="A233" s="422"/>
      <c r="B233" s="423"/>
      <c r="C233" s="423"/>
      <c r="D233" s="423"/>
      <c r="E233" s="423"/>
      <c r="F233" s="423"/>
      <c r="G233" s="423"/>
      <c r="H233" s="423"/>
      <c r="I233" s="423"/>
      <c r="J233" s="423"/>
      <c r="K233" s="423"/>
      <c r="L233" s="423"/>
      <c r="M233" s="423"/>
      <c r="N233" s="423"/>
      <c r="O233" s="423"/>
      <c r="P233" s="423"/>
      <c r="Q233" s="423"/>
      <c r="R233" s="423"/>
      <c r="S233" s="423"/>
      <c r="T233" s="423"/>
      <c r="U233" s="423"/>
      <c r="V233" s="423"/>
      <c r="W233" s="423"/>
    </row>
    <row r="234" spans="1:23" ht="15" customHeight="1">
      <c r="A234" s="422"/>
      <c r="B234" s="423"/>
      <c r="C234" s="423"/>
      <c r="D234" s="423"/>
      <c r="E234" s="423"/>
      <c r="F234" s="423"/>
      <c r="G234" s="423"/>
      <c r="H234" s="423"/>
      <c r="I234" s="423"/>
      <c r="J234" s="423"/>
      <c r="K234" s="423"/>
      <c r="L234" s="423"/>
      <c r="M234" s="423"/>
      <c r="N234" s="423"/>
      <c r="O234" s="423"/>
      <c r="P234" s="423"/>
      <c r="Q234" s="423"/>
      <c r="R234" s="423"/>
      <c r="S234" s="423"/>
      <c r="T234" s="423"/>
      <c r="U234" s="423"/>
      <c r="V234" s="423"/>
      <c r="W234" s="423"/>
    </row>
    <row r="235" spans="1:23" ht="15" customHeight="1">
      <c r="A235" s="422"/>
      <c r="B235" s="423"/>
      <c r="C235" s="423"/>
      <c r="D235" s="423"/>
      <c r="E235" s="423"/>
      <c r="F235" s="423"/>
      <c r="G235" s="423"/>
      <c r="H235" s="423"/>
      <c r="I235" s="423"/>
      <c r="J235" s="423"/>
      <c r="K235" s="423"/>
      <c r="L235" s="423"/>
      <c r="M235" s="423"/>
      <c r="N235" s="423"/>
      <c r="O235" s="423"/>
      <c r="P235" s="423"/>
      <c r="Q235" s="423"/>
      <c r="R235" s="423"/>
      <c r="S235" s="423"/>
      <c r="T235" s="423"/>
      <c r="U235" s="423"/>
      <c r="V235" s="423"/>
      <c r="W235" s="423"/>
    </row>
    <row r="236" spans="1:23" ht="15" customHeight="1">
      <c r="A236" s="422"/>
      <c r="B236" s="423"/>
      <c r="C236" s="423"/>
      <c r="D236" s="423"/>
      <c r="E236" s="423"/>
      <c r="F236" s="423"/>
      <c r="G236" s="423"/>
      <c r="H236" s="423"/>
      <c r="I236" s="423"/>
      <c r="J236" s="423"/>
      <c r="K236" s="423"/>
      <c r="L236" s="423"/>
      <c r="M236" s="423"/>
      <c r="N236" s="423"/>
      <c r="O236" s="423"/>
      <c r="P236" s="423"/>
      <c r="Q236" s="423"/>
      <c r="R236" s="423"/>
      <c r="S236" s="423"/>
      <c r="T236" s="423"/>
      <c r="U236" s="423"/>
      <c r="V236" s="423"/>
      <c r="W236" s="423"/>
    </row>
    <row r="237" spans="1:23" ht="15" customHeight="1">
      <c r="A237" s="422"/>
      <c r="B237" s="423"/>
      <c r="C237" s="423"/>
      <c r="D237" s="423"/>
      <c r="E237" s="423"/>
      <c r="F237" s="423"/>
      <c r="G237" s="423"/>
      <c r="H237" s="423"/>
      <c r="I237" s="423"/>
      <c r="J237" s="423"/>
      <c r="K237" s="423"/>
      <c r="L237" s="423"/>
      <c r="M237" s="423"/>
      <c r="N237" s="423"/>
      <c r="O237" s="423"/>
      <c r="P237" s="423"/>
      <c r="Q237" s="423"/>
      <c r="R237" s="423"/>
      <c r="S237" s="423"/>
      <c r="T237" s="423"/>
      <c r="U237" s="423"/>
      <c r="V237" s="423"/>
      <c r="W237" s="423"/>
    </row>
    <row r="238" spans="1:23" ht="15" customHeight="1">
      <c r="A238" s="422"/>
      <c r="B238" s="423"/>
      <c r="C238" s="423"/>
      <c r="D238" s="423"/>
      <c r="E238" s="423"/>
      <c r="F238" s="423"/>
      <c r="G238" s="423"/>
      <c r="H238" s="423"/>
      <c r="I238" s="423"/>
      <c r="J238" s="423"/>
      <c r="K238" s="423"/>
      <c r="L238" s="423"/>
      <c r="M238" s="423"/>
      <c r="N238" s="423"/>
      <c r="O238" s="423"/>
      <c r="P238" s="423"/>
      <c r="Q238" s="423"/>
      <c r="R238" s="423"/>
      <c r="S238" s="423"/>
      <c r="T238" s="423"/>
      <c r="U238" s="423"/>
      <c r="V238" s="423"/>
      <c r="W238" s="423"/>
    </row>
    <row r="239" spans="1:23" ht="15" customHeight="1">
      <c r="A239" s="422"/>
      <c r="B239" s="423"/>
      <c r="C239" s="423"/>
      <c r="D239" s="423"/>
      <c r="E239" s="423"/>
      <c r="F239" s="423"/>
      <c r="G239" s="423"/>
      <c r="H239" s="423"/>
      <c r="I239" s="423"/>
      <c r="J239" s="423"/>
      <c r="K239" s="423"/>
      <c r="L239" s="423"/>
      <c r="M239" s="423"/>
      <c r="N239" s="423"/>
      <c r="O239" s="423"/>
      <c r="P239" s="423"/>
      <c r="Q239" s="423"/>
      <c r="R239" s="423"/>
      <c r="S239" s="423"/>
      <c r="T239" s="423"/>
      <c r="U239" s="423"/>
      <c r="V239" s="423"/>
      <c r="W239" s="423"/>
    </row>
    <row r="240" spans="1:23" ht="15" customHeight="1">
      <c r="A240" s="422"/>
      <c r="B240" s="423"/>
      <c r="C240" s="423"/>
      <c r="D240" s="423"/>
      <c r="E240" s="423"/>
      <c r="F240" s="423"/>
      <c r="G240" s="423"/>
      <c r="H240" s="423"/>
      <c r="I240" s="423"/>
      <c r="J240" s="423"/>
      <c r="K240" s="423"/>
      <c r="L240" s="423"/>
      <c r="M240" s="423"/>
      <c r="N240" s="423"/>
      <c r="O240" s="423"/>
      <c r="P240" s="423"/>
      <c r="Q240" s="423"/>
      <c r="R240" s="423"/>
      <c r="S240" s="423"/>
      <c r="T240" s="423"/>
      <c r="U240" s="423"/>
      <c r="V240" s="423"/>
      <c r="W240" s="423"/>
    </row>
    <row r="241" spans="1:23" ht="15" customHeight="1">
      <c r="A241" s="422"/>
      <c r="B241" s="423"/>
      <c r="C241" s="423"/>
      <c r="D241" s="423"/>
      <c r="E241" s="423"/>
      <c r="F241" s="423"/>
      <c r="G241" s="423"/>
      <c r="H241" s="423"/>
      <c r="I241" s="423"/>
      <c r="J241" s="423"/>
      <c r="K241" s="423"/>
      <c r="L241" s="423"/>
      <c r="M241" s="423"/>
      <c r="N241" s="423"/>
      <c r="O241" s="423"/>
      <c r="P241" s="423"/>
      <c r="Q241" s="423"/>
      <c r="R241" s="423"/>
      <c r="S241" s="423"/>
      <c r="T241" s="423"/>
      <c r="U241" s="423"/>
      <c r="V241" s="423"/>
      <c r="W241" s="423"/>
    </row>
    <row r="242" spans="1:23" ht="15" customHeight="1">
      <c r="A242" s="422"/>
      <c r="B242" s="423"/>
      <c r="C242" s="423"/>
      <c r="D242" s="423"/>
      <c r="E242" s="423"/>
      <c r="F242" s="423"/>
      <c r="G242" s="423"/>
      <c r="H242" s="423"/>
      <c r="I242" s="423"/>
      <c r="J242" s="423"/>
      <c r="K242" s="423"/>
      <c r="L242" s="423"/>
      <c r="M242" s="423"/>
      <c r="N242" s="423"/>
      <c r="O242" s="423"/>
      <c r="P242" s="423"/>
      <c r="Q242" s="423"/>
      <c r="R242" s="423"/>
      <c r="S242" s="423"/>
      <c r="T242" s="423"/>
      <c r="U242" s="423"/>
      <c r="V242" s="423"/>
      <c r="W242" s="423"/>
    </row>
    <row r="243" spans="1:23" ht="15" customHeight="1">
      <c r="A243" s="422"/>
      <c r="B243" s="423"/>
      <c r="C243" s="423"/>
      <c r="D243" s="423"/>
      <c r="E243" s="423"/>
      <c r="F243" s="423"/>
      <c r="G243" s="423"/>
      <c r="H243" s="423"/>
      <c r="I243" s="423"/>
      <c r="J243" s="423"/>
      <c r="K243" s="423"/>
      <c r="L243" s="423"/>
      <c r="M243" s="423"/>
      <c r="N243" s="423"/>
      <c r="O243" s="423"/>
      <c r="P243" s="423"/>
      <c r="Q243" s="423"/>
      <c r="R243" s="423"/>
      <c r="S243" s="423"/>
      <c r="T243" s="423"/>
      <c r="U243" s="423"/>
      <c r="V243" s="423"/>
      <c r="W243" s="423"/>
    </row>
    <row r="244" spans="1:23" ht="15" customHeight="1">
      <c r="A244" s="422"/>
      <c r="B244" s="423"/>
      <c r="C244" s="423"/>
      <c r="D244" s="423"/>
      <c r="E244" s="423"/>
      <c r="F244" s="423"/>
      <c r="G244" s="423"/>
      <c r="H244" s="423"/>
      <c r="I244" s="423"/>
      <c r="J244" s="423"/>
      <c r="K244" s="423"/>
      <c r="L244" s="423"/>
      <c r="M244" s="423"/>
      <c r="N244" s="423"/>
      <c r="O244" s="423"/>
      <c r="P244" s="423"/>
      <c r="Q244" s="423"/>
      <c r="R244" s="423"/>
      <c r="S244" s="423"/>
      <c r="T244" s="423"/>
      <c r="U244" s="423"/>
      <c r="V244" s="423"/>
      <c r="W244" s="423"/>
    </row>
    <row r="245" spans="1:23" ht="15" customHeight="1">
      <c r="A245" s="422"/>
      <c r="B245" s="423"/>
      <c r="C245" s="423"/>
      <c r="D245" s="423"/>
      <c r="E245" s="423"/>
      <c r="F245" s="423"/>
      <c r="G245" s="423"/>
      <c r="H245" s="423"/>
      <c r="I245" s="423"/>
      <c r="J245" s="423"/>
      <c r="K245" s="423"/>
      <c r="L245" s="423"/>
      <c r="M245" s="423"/>
      <c r="N245" s="423"/>
      <c r="O245" s="423"/>
      <c r="P245" s="423"/>
      <c r="Q245" s="423"/>
      <c r="R245" s="423"/>
      <c r="S245" s="423"/>
      <c r="T245" s="423"/>
      <c r="U245" s="423"/>
      <c r="V245" s="423"/>
      <c r="W245" s="423"/>
    </row>
    <row r="246" spans="1:23" ht="15" customHeight="1">
      <c r="A246" s="422"/>
      <c r="B246" s="423"/>
      <c r="C246" s="423"/>
      <c r="D246" s="423"/>
      <c r="E246" s="423"/>
      <c r="F246" s="423"/>
      <c r="G246" s="423"/>
      <c r="H246" s="423"/>
      <c r="I246" s="423"/>
      <c r="J246" s="423"/>
      <c r="K246" s="423"/>
      <c r="L246" s="423"/>
      <c r="M246" s="423"/>
      <c r="N246" s="423"/>
      <c r="O246" s="423"/>
      <c r="P246" s="423"/>
      <c r="Q246" s="423"/>
      <c r="R246" s="423"/>
      <c r="S246" s="423"/>
      <c r="T246" s="423"/>
      <c r="U246" s="423"/>
      <c r="V246" s="423"/>
      <c r="W246" s="423"/>
    </row>
    <row r="247" spans="1:23" ht="15" customHeight="1">
      <c r="A247" s="422"/>
      <c r="B247" s="423"/>
      <c r="C247" s="423"/>
      <c r="D247" s="423"/>
      <c r="E247" s="423"/>
      <c r="F247" s="423"/>
      <c r="G247" s="423"/>
      <c r="H247" s="423"/>
      <c r="I247" s="423"/>
      <c r="J247" s="423"/>
      <c r="K247" s="423"/>
      <c r="L247" s="423"/>
      <c r="M247" s="423"/>
      <c r="N247" s="423"/>
      <c r="O247" s="423"/>
      <c r="P247" s="423"/>
      <c r="Q247" s="423"/>
      <c r="R247" s="423"/>
      <c r="S247" s="423"/>
      <c r="T247" s="423"/>
      <c r="U247" s="423"/>
      <c r="V247" s="423"/>
      <c r="W247" s="423"/>
    </row>
    <row r="248" spans="1:23" ht="15" customHeight="1">
      <c r="A248" s="422"/>
      <c r="B248" s="423"/>
      <c r="C248" s="423"/>
      <c r="D248" s="423"/>
      <c r="E248" s="423"/>
      <c r="F248" s="423"/>
      <c r="G248" s="423"/>
      <c r="H248" s="423"/>
      <c r="I248" s="423"/>
      <c r="J248" s="423"/>
      <c r="K248" s="423"/>
      <c r="L248" s="423"/>
      <c r="M248" s="423"/>
      <c r="N248" s="423"/>
      <c r="O248" s="423"/>
      <c r="P248" s="423"/>
      <c r="Q248" s="423"/>
      <c r="R248" s="423"/>
      <c r="S248" s="423"/>
      <c r="T248" s="423"/>
      <c r="U248" s="423"/>
      <c r="V248" s="423"/>
      <c r="W248" s="423"/>
    </row>
    <row r="249" spans="1:23" ht="15" customHeight="1">
      <c r="A249" s="422"/>
      <c r="B249" s="423"/>
      <c r="C249" s="423"/>
      <c r="D249" s="423"/>
      <c r="E249" s="423"/>
      <c r="F249" s="423"/>
      <c r="G249" s="423"/>
      <c r="H249" s="423"/>
      <c r="I249" s="423"/>
      <c r="J249" s="423"/>
      <c r="K249" s="423"/>
      <c r="L249" s="423"/>
      <c r="M249" s="423"/>
      <c r="N249" s="423"/>
      <c r="O249" s="423"/>
      <c r="P249" s="423"/>
      <c r="Q249" s="423"/>
      <c r="R249" s="423"/>
      <c r="S249" s="423"/>
      <c r="T249" s="423"/>
      <c r="U249" s="423"/>
      <c r="V249" s="423"/>
      <c r="W249" s="423"/>
    </row>
    <row r="250" spans="1:23" ht="15" customHeight="1">
      <c r="A250" s="422"/>
      <c r="B250" s="423"/>
      <c r="C250" s="423"/>
      <c r="D250" s="423"/>
      <c r="E250" s="423"/>
      <c r="F250" s="423"/>
      <c r="G250" s="423"/>
      <c r="H250" s="423"/>
      <c r="I250" s="423"/>
      <c r="J250" s="423"/>
      <c r="K250" s="423"/>
      <c r="L250" s="423"/>
      <c r="M250" s="423"/>
      <c r="N250" s="423"/>
      <c r="O250" s="423"/>
      <c r="P250" s="423"/>
      <c r="Q250" s="423"/>
      <c r="R250" s="423"/>
      <c r="S250" s="423"/>
      <c r="T250" s="423"/>
      <c r="U250" s="423"/>
      <c r="V250" s="423"/>
      <c r="W250" s="423"/>
    </row>
    <row r="251" spans="1:23">
      <c r="A251" s="422"/>
      <c r="B251" s="423"/>
      <c r="C251" s="423"/>
      <c r="D251" s="423"/>
      <c r="E251" s="423"/>
      <c r="F251" s="423"/>
      <c r="G251" s="423"/>
      <c r="H251" s="423"/>
      <c r="I251" s="423"/>
      <c r="J251" s="423"/>
      <c r="K251" s="423"/>
      <c r="L251" s="423"/>
      <c r="M251" s="423"/>
      <c r="N251" s="423"/>
      <c r="O251" s="423"/>
      <c r="P251" s="423"/>
      <c r="Q251" s="423"/>
      <c r="R251" s="423"/>
      <c r="S251" s="423"/>
      <c r="T251" s="423"/>
      <c r="U251" s="423"/>
      <c r="V251" s="423"/>
      <c r="W251" s="423"/>
    </row>
    <row r="252" spans="1:23">
      <c r="A252" s="422"/>
      <c r="B252" s="423"/>
      <c r="C252" s="423"/>
      <c r="D252" s="423"/>
      <c r="E252" s="423"/>
      <c r="F252" s="423"/>
      <c r="G252" s="423"/>
      <c r="H252" s="423"/>
      <c r="I252" s="423"/>
      <c r="J252" s="423"/>
      <c r="K252" s="423"/>
      <c r="L252" s="423"/>
      <c r="M252" s="423"/>
      <c r="N252" s="423"/>
      <c r="O252" s="423"/>
      <c r="P252" s="423"/>
      <c r="Q252" s="423"/>
      <c r="R252" s="423"/>
      <c r="S252" s="423"/>
      <c r="T252" s="423"/>
      <c r="U252" s="423"/>
      <c r="V252" s="423"/>
      <c r="W252" s="423"/>
    </row>
    <row r="253" spans="1:23">
      <c r="A253" s="422"/>
      <c r="B253" s="423"/>
      <c r="C253" s="423"/>
      <c r="D253" s="423"/>
      <c r="E253" s="423"/>
      <c r="F253" s="423"/>
      <c r="G253" s="423"/>
      <c r="H253" s="423"/>
      <c r="I253" s="423"/>
      <c r="J253" s="423"/>
      <c r="K253" s="423"/>
      <c r="L253" s="423"/>
      <c r="M253" s="423"/>
      <c r="N253" s="423"/>
      <c r="O253" s="423"/>
      <c r="P253" s="423"/>
      <c r="Q253" s="423"/>
      <c r="R253" s="423"/>
      <c r="S253" s="423"/>
      <c r="T253" s="423"/>
      <c r="U253" s="423"/>
      <c r="V253" s="423"/>
      <c r="W253" s="423"/>
    </row>
    <row r="254" spans="1:23">
      <c r="A254" s="422"/>
      <c r="B254" s="423"/>
      <c r="C254" s="423"/>
      <c r="D254" s="423"/>
      <c r="E254" s="423"/>
      <c r="F254" s="423"/>
      <c r="G254" s="423"/>
      <c r="H254" s="423"/>
      <c r="I254" s="423"/>
      <c r="J254" s="423"/>
      <c r="K254" s="423"/>
      <c r="L254" s="423"/>
      <c r="M254" s="423"/>
      <c r="N254" s="423"/>
      <c r="O254" s="423"/>
      <c r="P254" s="423"/>
      <c r="Q254" s="423"/>
      <c r="R254" s="423"/>
      <c r="S254" s="423"/>
      <c r="T254" s="423"/>
      <c r="U254" s="423"/>
      <c r="V254" s="423"/>
      <c r="W254" s="423"/>
    </row>
    <row r="255" spans="1:23">
      <c r="A255" s="422"/>
      <c r="B255" s="423"/>
      <c r="C255" s="423"/>
      <c r="D255" s="423"/>
      <c r="E255" s="423"/>
      <c r="F255" s="423"/>
      <c r="G255" s="423"/>
      <c r="H255" s="423"/>
      <c r="I255" s="423"/>
      <c r="J255" s="423"/>
      <c r="K255" s="423"/>
      <c r="L255" s="423"/>
      <c r="M255" s="423"/>
      <c r="N255" s="423"/>
      <c r="O255" s="423"/>
      <c r="P255" s="423"/>
      <c r="Q255" s="423"/>
      <c r="R255" s="423"/>
      <c r="S255" s="423"/>
      <c r="T255" s="423"/>
      <c r="U255" s="423"/>
      <c r="V255" s="423"/>
      <c r="W255" s="423"/>
    </row>
    <row r="256" spans="1:23">
      <c r="A256" s="422"/>
      <c r="B256" s="423"/>
      <c r="C256" s="423"/>
      <c r="D256" s="423"/>
      <c r="E256" s="423"/>
      <c r="F256" s="423"/>
      <c r="G256" s="423"/>
      <c r="H256" s="423"/>
      <c r="I256" s="423"/>
      <c r="J256" s="423"/>
      <c r="K256" s="423"/>
      <c r="L256" s="423"/>
      <c r="M256" s="423"/>
      <c r="N256" s="423"/>
      <c r="O256" s="423"/>
      <c r="P256" s="423"/>
      <c r="Q256" s="423"/>
      <c r="R256" s="423"/>
      <c r="S256" s="423"/>
      <c r="T256" s="423"/>
      <c r="U256" s="423"/>
      <c r="V256" s="423"/>
      <c r="W256" s="423"/>
    </row>
    <row r="257" spans="1:23">
      <c r="A257" s="422"/>
      <c r="B257" s="423"/>
      <c r="C257" s="423"/>
      <c r="D257" s="423"/>
      <c r="E257" s="423"/>
      <c r="F257" s="423"/>
      <c r="G257" s="423"/>
      <c r="H257" s="423"/>
      <c r="I257" s="423"/>
      <c r="J257" s="423"/>
      <c r="K257" s="423"/>
      <c r="L257" s="423"/>
      <c r="M257" s="423"/>
      <c r="N257" s="423"/>
      <c r="O257" s="423"/>
      <c r="P257" s="423"/>
      <c r="Q257" s="423"/>
      <c r="R257" s="423"/>
      <c r="S257" s="423"/>
      <c r="T257" s="423"/>
      <c r="U257" s="423"/>
      <c r="V257" s="423"/>
      <c r="W257" s="423"/>
    </row>
    <row r="258" spans="1:23">
      <c r="A258" s="422"/>
      <c r="B258" s="423"/>
      <c r="C258" s="423"/>
      <c r="D258" s="423"/>
      <c r="E258" s="423"/>
      <c r="F258" s="423"/>
      <c r="G258" s="423"/>
      <c r="H258" s="423"/>
      <c r="I258" s="423"/>
      <c r="J258" s="423"/>
      <c r="K258" s="423"/>
      <c r="L258" s="423"/>
      <c r="M258" s="423"/>
      <c r="N258" s="423"/>
      <c r="O258" s="423"/>
      <c r="P258" s="423"/>
      <c r="Q258" s="423"/>
      <c r="R258" s="423"/>
      <c r="S258" s="423"/>
      <c r="T258" s="423"/>
      <c r="U258" s="423"/>
      <c r="V258" s="423"/>
      <c r="W258" s="423"/>
    </row>
    <row r="259" spans="1:23">
      <c r="A259" s="414"/>
      <c r="B259" s="262"/>
      <c r="C259" s="425"/>
      <c r="D259" s="262"/>
      <c r="E259" s="415"/>
      <c r="F259" s="415"/>
      <c r="G259" s="416"/>
      <c r="H259" s="416"/>
      <c r="I259" s="417"/>
      <c r="J259" s="417"/>
      <c r="K259" s="262"/>
      <c r="L259" s="262"/>
      <c r="M259" s="415"/>
      <c r="N259" s="415"/>
      <c r="O259" s="418"/>
      <c r="P259" s="419"/>
      <c r="Q259" s="419"/>
      <c r="R259" s="419"/>
      <c r="S259" s="419"/>
      <c r="T259" s="419"/>
      <c r="U259" s="421"/>
      <c r="V259" s="421"/>
      <c r="W259" s="421"/>
    </row>
    <row r="260" spans="1:23">
      <c r="A260" s="414"/>
      <c r="B260" s="262"/>
      <c r="C260" s="425"/>
      <c r="D260" s="262"/>
      <c r="E260" s="415"/>
      <c r="F260" s="415"/>
      <c r="G260" s="416"/>
      <c r="H260" s="416"/>
      <c r="I260" s="417"/>
      <c r="J260" s="417"/>
      <c r="K260" s="262"/>
      <c r="L260" s="262"/>
      <c r="M260" s="415"/>
      <c r="N260" s="415"/>
      <c r="O260" s="418"/>
      <c r="P260" s="419"/>
      <c r="Q260" s="419"/>
      <c r="R260" s="419"/>
      <c r="S260" s="419"/>
      <c r="T260" s="419"/>
      <c r="U260" s="421"/>
      <c r="V260" s="421"/>
      <c r="W260" s="421"/>
    </row>
    <row r="261" spans="1:23">
      <c r="A261" s="414"/>
      <c r="B261" s="262"/>
      <c r="C261" s="425"/>
      <c r="D261" s="262"/>
      <c r="E261" s="415"/>
      <c r="F261" s="415"/>
      <c r="G261" s="416"/>
      <c r="H261" s="416"/>
      <c r="I261" s="417"/>
      <c r="J261" s="417"/>
      <c r="K261" s="262"/>
      <c r="L261" s="262"/>
      <c r="M261" s="415"/>
      <c r="N261" s="415"/>
      <c r="O261" s="418"/>
      <c r="P261" s="419"/>
      <c r="Q261" s="419"/>
      <c r="R261" s="419"/>
      <c r="S261" s="419"/>
      <c r="T261" s="419"/>
      <c r="U261" s="421"/>
      <c r="V261" s="421"/>
      <c r="W261" s="421"/>
    </row>
    <row r="262" spans="1:23">
      <c r="A262" s="414"/>
      <c r="B262" s="262"/>
      <c r="C262" s="425"/>
      <c r="D262" s="262"/>
      <c r="E262" s="415"/>
      <c r="F262" s="415"/>
      <c r="G262" s="416"/>
      <c r="H262" s="416"/>
      <c r="I262" s="417"/>
      <c r="J262" s="417"/>
      <c r="K262" s="262"/>
      <c r="L262" s="262"/>
      <c r="M262" s="415"/>
      <c r="N262" s="415"/>
      <c r="O262" s="418"/>
      <c r="P262" s="419"/>
      <c r="Q262" s="419"/>
      <c r="R262" s="419"/>
      <c r="S262" s="419"/>
      <c r="T262" s="419"/>
      <c r="U262" s="421"/>
      <c r="V262" s="421"/>
      <c r="W262" s="421"/>
    </row>
    <row r="263" spans="1:23">
      <c r="A263" s="414"/>
      <c r="B263" s="262"/>
      <c r="C263" s="425"/>
      <c r="D263" s="262"/>
      <c r="E263" s="415"/>
      <c r="F263" s="415"/>
      <c r="G263" s="416"/>
      <c r="H263" s="416"/>
      <c r="I263" s="417"/>
      <c r="J263" s="417"/>
      <c r="K263" s="262"/>
      <c r="L263" s="262"/>
      <c r="M263" s="262"/>
      <c r="N263" s="262"/>
      <c r="O263" s="418"/>
      <c r="P263" s="419"/>
      <c r="Q263" s="419"/>
      <c r="R263" s="419"/>
      <c r="S263" s="419"/>
      <c r="T263" s="419"/>
      <c r="U263" s="421"/>
      <c r="V263" s="421"/>
      <c r="W263" s="421"/>
    </row>
    <row r="264" spans="1:23">
      <c r="A264" s="262"/>
    </row>
    <row r="265" spans="1:23">
      <c r="A265" s="262"/>
    </row>
    <row r="292" spans="27:84" s="470" customFormat="1">
      <c r="AA292" s="476"/>
      <c r="AE292" s="476"/>
      <c r="AI292" s="476"/>
    </row>
    <row r="302" spans="27:84">
      <c r="CD302" s="201" t="s">
        <v>55</v>
      </c>
      <c r="CE302" s="201" t="s">
        <v>58</v>
      </c>
    </row>
    <row r="303" spans="27:84" ht="293.45" customHeight="1">
      <c r="CD303" s="201" t="s">
        <v>59</v>
      </c>
      <c r="CE303" s="424" t="s">
        <v>83</v>
      </c>
      <c r="CF303" s="201"/>
    </row>
    <row r="304" spans="27:84" ht="293.45" customHeight="1">
      <c r="CD304" s="201" t="s">
        <v>56</v>
      </c>
      <c r="CE304" s="201"/>
    </row>
    <row r="305" spans="82:83" ht="293.45" customHeight="1">
      <c r="CD305" s="201" t="s">
        <v>57</v>
      </c>
      <c r="CE305" s="201"/>
    </row>
    <row r="306" spans="82:83" s="476" customFormat="1" ht="293.45" customHeight="1">
      <c r="CD306" s="201" t="s">
        <v>521</v>
      </c>
      <c r="CE306" s="201"/>
    </row>
    <row r="307" spans="82:83" ht="293.45" customHeight="1">
      <c r="CD307" s="201" t="s">
        <v>52</v>
      </c>
      <c r="CE307" s="201"/>
    </row>
  </sheetData>
  <sheetProtection algorithmName="SHA-512" hashValue="Zcf7Lfpm7/rJEoCsNzh0TYBhBPPGwPZKR/JW7gJQsadlriBF/33+BjFTgy8jGsiszZOB0gX8n3QdqmA7I/kxxQ==" saltValue="570emb4mimLrNbrnOgYmLw==" spinCount="100000" sheet="1" objects="1" scenarios="1"/>
  <mergeCells count="14">
    <mergeCell ref="R175:R176"/>
    <mergeCell ref="A1:M3"/>
    <mergeCell ref="A4:BA4"/>
    <mergeCell ref="B175:B176"/>
    <mergeCell ref="F175:F176"/>
    <mergeCell ref="G175:G176"/>
    <mergeCell ref="H175:H176"/>
    <mergeCell ref="I175:I176"/>
    <mergeCell ref="J175:J176"/>
    <mergeCell ref="K175:K176"/>
    <mergeCell ref="M175:M176"/>
    <mergeCell ref="N175:N176"/>
    <mergeCell ref="O175:O176"/>
    <mergeCell ref="P175:P176"/>
  </mergeCells>
  <phoneticPr fontId="21"/>
  <dataValidations count="1">
    <dataValidation type="list" allowBlank="1" showInputMessage="1" showErrorMessage="1" sqref="B69:B83 B127:B158 B64:B67 B90:B117 C64:C158" xr:uid="{00000000-0002-0000-0300-000000000000}">
      <formula1>inputType</formula1>
    </dataValidation>
  </dataValidations>
  <hyperlinks>
    <hyperlink ref="P5" location="'Table of Contents'!B17" display="Table of Contents" xr:uid="{00000000-0004-0000-0300-000000000000}"/>
  </hyperlinks>
  <pageMargins left="0.7" right="0.7" top="0.75" bottom="0.75" header="0.3" footer="0.3"/>
  <pageSetup orientation="portrait" r:id="rId1"/>
  <drawing r:id="rId2"/>
  <tableParts count="3">
    <tablePart r:id="rId3"/>
    <tablePart r:id="rId4"/>
    <tablePart r:id="rId5"/>
  </tablePart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dimension ref="A1:T23"/>
  <sheetViews>
    <sheetView showGridLines="0" showRowColHeaders="0" zoomScaleNormal="100" workbookViewId="0">
      <selection activeCell="R5" sqref="R5:T5"/>
    </sheetView>
  </sheetViews>
  <sheetFormatPr defaultColWidth="9.1328125" defaultRowHeight="14.25"/>
  <cols>
    <col min="1" max="2" width="9.1328125" style="288"/>
    <col min="3" max="3" width="7.86328125" style="288" customWidth="1"/>
    <col min="4" max="4" width="6.59765625" style="288" customWidth="1"/>
    <col min="5" max="17" width="9.1328125" style="288"/>
    <col min="18" max="18" width="18.86328125" style="288" customWidth="1"/>
    <col min="19" max="16384" width="9.1328125" style="288"/>
  </cols>
  <sheetData>
    <row r="1" spans="1:20" ht="12.75" customHeight="1">
      <c r="A1" s="801"/>
      <c r="B1" s="801"/>
      <c r="C1" s="801"/>
      <c r="D1" s="801"/>
      <c r="E1" s="801"/>
      <c r="F1" s="801"/>
      <c r="G1" s="801"/>
      <c r="H1" s="801"/>
      <c r="I1" s="801"/>
      <c r="J1" s="801"/>
      <c r="K1" s="801"/>
      <c r="L1" s="801"/>
      <c r="M1" s="801"/>
      <c r="N1" s="801"/>
      <c r="O1" s="801"/>
      <c r="P1" s="801"/>
      <c r="Q1" s="801"/>
      <c r="R1" s="801"/>
    </row>
    <row r="2" spans="1:20" ht="12.75" customHeight="1">
      <c r="A2" s="801"/>
      <c r="B2" s="801"/>
      <c r="C2" s="801"/>
      <c r="D2" s="801"/>
      <c r="E2" s="801"/>
      <c r="F2" s="801"/>
      <c r="G2" s="801"/>
      <c r="H2" s="801"/>
      <c r="I2" s="801"/>
      <c r="J2" s="801"/>
      <c r="K2" s="801"/>
      <c r="L2" s="801"/>
      <c r="M2" s="801"/>
      <c r="N2" s="801"/>
      <c r="O2" s="801"/>
      <c r="P2" s="801"/>
      <c r="Q2" s="801"/>
      <c r="R2" s="801"/>
    </row>
    <row r="3" spans="1:20" ht="12.75" customHeight="1">
      <c r="A3" s="801"/>
      <c r="B3" s="801"/>
      <c r="C3" s="801"/>
      <c r="D3" s="801"/>
      <c r="E3" s="801"/>
      <c r="F3" s="801"/>
      <c r="G3" s="801"/>
      <c r="H3" s="801"/>
      <c r="I3" s="801"/>
      <c r="J3" s="801"/>
      <c r="K3" s="801"/>
      <c r="L3" s="801"/>
      <c r="M3" s="801"/>
      <c r="N3" s="801"/>
      <c r="O3" s="801"/>
      <c r="P3" s="801"/>
      <c r="Q3" s="801"/>
      <c r="R3" s="801"/>
    </row>
    <row r="4" spans="1:20" ht="12.75" customHeight="1">
      <c r="A4" s="802"/>
      <c r="B4" s="802"/>
      <c r="C4" s="802"/>
      <c r="D4" s="802"/>
      <c r="E4" s="802"/>
      <c r="F4" s="802"/>
      <c r="G4" s="802"/>
      <c r="H4" s="802"/>
      <c r="I4" s="802"/>
      <c r="J4" s="802"/>
      <c r="K4" s="802"/>
      <c r="L4" s="802"/>
      <c r="M4" s="802"/>
      <c r="N4" s="802"/>
      <c r="O4" s="802"/>
      <c r="P4" s="802"/>
      <c r="Q4" s="802"/>
      <c r="R4" s="802"/>
    </row>
    <row r="5" spans="1:20">
      <c r="A5" s="803" t="s">
        <v>207</v>
      </c>
      <c r="B5" s="803"/>
      <c r="C5" s="803"/>
      <c r="D5" s="803"/>
      <c r="E5" s="803"/>
      <c r="F5" s="803"/>
      <c r="G5" s="803"/>
      <c r="H5" s="803"/>
      <c r="I5" s="803"/>
      <c r="J5" s="803"/>
      <c r="K5" s="803"/>
      <c r="L5" s="803"/>
      <c r="M5" s="803"/>
      <c r="N5" s="803"/>
      <c r="O5" s="803"/>
      <c r="P5" s="803"/>
      <c r="Q5" s="289"/>
      <c r="R5" s="524" t="s">
        <v>8</v>
      </c>
      <c r="S5" s="523"/>
      <c r="T5" s="523"/>
    </row>
    <row r="6" spans="1:20" ht="15" customHeight="1">
      <c r="A6" s="290"/>
      <c r="B6" s="290"/>
      <c r="C6" s="290"/>
      <c r="D6" s="290"/>
      <c r="E6" s="290"/>
      <c r="F6" s="290"/>
      <c r="G6" s="290"/>
      <c r="H6" s="290"/>
      <c r="I6" s="290"/>
      <c r="J6" s="290"/>
      <c r="K6" s="290"/>
      <c r="L6" s="290"/>
      <c r="M6" s="290"/>
      <c r="N6" s="290"/>
      <c r="O6" s="290"/>
      <c r="P6" s="290"/>
      <c r="Q6" s="290"/>
      <c r="R6" s="290"/>
      <c r="S6" s="290"/>
    </row>
    <row r="7" spans="1:20" ht="15" customHeight="1">
      <c r="A7" s="290"/>
      <c r="B7" s="290"/>
      <c r="C7" s="290"/>
      <c r="D7" s="290"/>
      <c r="E7" s="290"/>
      <c r="F7" s="290"/>
      <c r="G7" s="290"/>
      <c r="H7" s="290"/>
      <c r="I7" s="290"/>
      <c r="J7" s="290"/>
      <c r="K7" s="290"/>
      <c r="L7" s="290"/>
      <c r="M7" s="290"/>
      <c r="N7" s="290"/>
      <c r="O7" s="290"/>
      <c r="P7" s="290"/>
      <c r="Q7" s="290"/>
      <c r="R7" s="290"/>
      <c r="S7" s="290"/>
    </row>
    <row r="8" spans="1:20" ht="15" customHeight="1">
      <c r="A8" s="291"/>
      <c r="B8" s="291"/>
      <c r="C8" s="291"/>
      <c r="D8" s="291"/>
      <c r="E8" s="291"/>
      <c r="F8" s="291"/>
      <c r="G8" s="291"/>
      <c r="H8" s="291"/>
      <c r="I8" s="291"/>
      <c r="J8" s="291"/>
      <c r="K8" s="291"/>
      <c r="L8" s="291"/>
      <c r="M8" s="291"/>
      <c r="N8" s="291"/>
      <c r="O8" s="291"/>
      <c r="P8" s="291"/>
      <c r="Q8" s="291"/>
      <c r="R8" s="291"/>
      <c r="S8" s="290"/>
    </row>
    <row r="9" spans="1:20" ht="15" customHeight="1">
      <c r="A9" s="290"/>
      <c r="B9" s="290"/>
      <c r="C9" s="290"/>
      <c r="D9" s="290"/>
      <c r="E9" s="290"/>
      <c r="F9" s="290"/>
      <c r="G9" s="290"/>
      <c r="H9" s="290"/>
      <c r="I9" s="290"/>
      <c r="J9" s="290"/>
      <c r="K9" s="290"/>
      <c r="L9" s="290"/>
      <c r="M9" s="290"/>
      <c r="N9" s="290"/>
      <c r="O9" s="290"/>
      <c r="P9" s="290"/>
      <c r="Q9" s="290"/>
      <c r="R9" s="290"/>
      <c r="S9" s="290"/>
    </row>
    <row r="10" spans="1:20" ht="15" customHeight="1">
      <c r="A10" s="290"/>
      <c r="B10" s="290"/>
      <c r="C10" s="290"/>
      <c r="D10" s="290"/>
      <c r="E10" s="290"/>
      <c r="F10" s="290"/>
      <c r="G10" s="290"/>
      <c r="H10" s="290"/>
      <c r="I10" s="290"/>
      <c r="J10" s="290"/>
      <c r="K10" s="290"/>
      <c r="L10" s="290"/>
      <c r="M10" s="290"/>
      <c r="N10" s="290"/>
      <c r="O10" s="290"/>
      <c r="P10" s="290"/>
      <c r="Q10" s="290"/>
      <c r="R10" s="290"/>
      <c r="S10" s="290"/>
    </row>
    <row r="11" spans="1:20" ht="15" customHeight="1">
      <c r="A11" s="290"/>
      <c r="B11" s="290"/>
      <c r="C11" s="290"/>
      <c r="D11" s="290"/>
      <c r="E11" s="290"/>
      <c r="F11" s="290"/>
      <c r="G11" s="290"/>
      <c r="H11" s="290"/>
      <c r="I11" s="290"/>
      <c r="J11" s="290"/>
      <c r="K11" s="290"/>
      <c r="L11" s="290"/>
      <c r="M11" s="290"/>
      <c r="N11" s="290"/>
      <c r="O11" s="290"/>
      <c r="P11" s="290"/>
      <c r="Q11" s="290"/>
      <c r="R11" s="290"/>
      <c r="S11" s="290"/>
    </row>
    <row r="12" spans="1:20" ht="15" customHeight="1">
      <c r="A12" s="290"/>
      <c r="B12" s="290"/>
      <c r="C12" s="290"/>
      <c r="D12" s="290"/>
      <c r="E12" s="290"/>
      <c r="F12" s="290"/>
      <c r="G12" s="290"/>
      <c r="H12" s="290"/>
      <c r="I12" s="290"/>
      <c r="J12" s="290"/>
      <c r="K12" s="290"/>
      <c r="L12" s="290"/>
      <c r="M12" s="290"/>
      <c r="N12" s="290"/>
      <c r="O12" s="290"/>
      <c r="P12" s="290"/>
      <c r="Q12" s="290"/>
      <c r="R12" s="290"/>
      <c r="S12" s="290"/>
    </row>
    <row r="13" spans="1:20" ht="15" customHeight="1">
      <c r="A13" s="290"/>
      <c r="B13" s="290"/>
      <c r="C13" s="290"/>
      <c r="D13" s="290"/>
      <c r="E13" s="290"/>
      <c r="F13" s="290"/>
      <c r="G13" s="290"/>
      <c r="H13" s="290"/>
      <c r="I13" s="290"/>
      <c r="J13" s="290"/>
      <c r="K13" s="290"/>
      <c r="L13" s="290"/>
      <c r="M13" s="290"/>
      <c r="N13" s="290"/>
      <c r="O13" s="290"/>
      <c r="P13" s="290"/>
      <c r="Q13" s="290"/>
      <c r="R13" s="290"/>
      <c r="S13" s="290"/>
    </row>
    <row r="14" spans="1:20" ht="15" customHeight="1">
      <c r="A14" s="290"/>
      <c r="B14" s="290"/>
      <c r="C14" s="290"/>
      <c r="D14" s="290"/>
      <c r="E14" s="290"/>
      <c r="F14" s="290"/>
      <c r="G14" s="290"/>
      <c r="H14" s="290"/>
      <c r="I14" s="290"/>
      <c r="J14" s="290"/>
      <c r="K14" s="290"/>
      <c r="L14" s="290"/>
      <c r="M14" s="290"/>
      <c r="N14" s="290"/>
      <c r="O14" s="290"/>
      <c r="P14" s="290"/>
      <c r="Q14" s="290"/>
      <c r="R14" s="290"/>
      <c r="S14" s="290"/>
    </row>
    <row r="15" spans="1:20" ht="15" customHeight="1">
      <c r="A15" s="290"/>
      <c r="B15" s="290"/>
      <c r="C15" s="290"/>
      <c r="D15" s="290"/>
      <c r="E15" s="290"/>
      <c r="F15" s="290"/>
      <c r="G15" s="290"/>
      <c r="H15" s="290"/>
      <c r="I15" s="290"/>
      <c r="J15" s="290"/>
      <c r="K15" s="290"/>
      <c r="L15" s="290"/>
      <c r="M15" s="290"/>
      <c r="N15" s="290"/>
      <c r="O15" s="290"/>
      <c r="P15" s="290"/>
      <c r="Q15" s="290"/>
      <c r="R15" s="290"/>
      <c r="S15" s="290"/>
    </row>
    <row r="16" spans="1:20" ht="15" customHeight="1">
      <c r="A16" s="290"/>
      <c r="B16" s="290"/>
      <c r="C16" s="290"/>
      <c r="D16" s="290"/>
      <c r="E16" s="290"/>
      <c r="F16" s="290"/>
      <c r="G16" s="290"/>
      <c r="H16" s="290"/>
      <c r="I16" s="290"/>
      <c r="J16" s="290"/>
      <c r="K16" s="290"/>
      <c r="L16" s="290"/>
      <c r="M16" s="290"/>
      <c r="N16" s="290"/>
      <c r="O16" s="290"/>
      <c r="P16" s="290"/>
      <c r="Q16" s="290"/>
      <c r="R16" s="290"/>
      <c r="S16" s="290"/>
    </row>
    <row r="17" spans="1:19" ht="15" customHeight="1">
      <c r="A17" s="290"/>
      <c r="B17" s="290"/>
      <c r="C17" s="290"/>
      <c r="D17" s="290"/>
      <c r="E17" s="290"/>
      <c r="F17" s="290"/>
      <c r="G17" s="290"/>
      <c r="H17" s="290"/>
      <c r="I17" s="290"/>
      <c r="J17" s="290"/>
      <c r="K17" s="290"/>
      <c r="L17" s="290"/>
      <c r="M17" s="290"/>
      <c r="N17" s="290"/>
      <c r="O17" s="290"/>
      <c r="P17" s="290"/>
      <c r="Q17" s="290"/>
      <c r="R17" s="290"/>
      <c r="S17" s="290"/>
    </row>
    <row r="18" spans="1:19" ht="15" customHeight="1">
      <c r="A18" s="290"/>
      <c r="B18" s="290"/>
      <c r="C18" s="290"/>
      <c r="D18" s="290"/>
      <c r="E18" s="290"/>
      <c r="F18" s="290"/>
      <c r="G18" s="290"/>
      <c r="H18" s="290"/>
      <c r="I18" s="290"/>
      <c r="J18" s="290"/>
      <c r="K18" s="290"/>
      <c r="L18" s="290"/>
      <c r="M18" s="290"/>
      <c r="N18" s="290"/>
      <c r="O18" s="290"/>
      <c r="P18" s="290"/>
      <c r="Q18" s="290"/>
      <c r="R18" s="290"/>
      <c r="S18" s="290"/>
    </row>
    <row r="19" spans="1:19" ht="15" customHeight="1">
      <c r="A19" s="290"/>
      <c r="B19" s="290"/>
      <c r="C19" s="290"/>
      <c r="D19" s="290"/>
      <c r="E19" s="290"/>
      <c r="F19" s="290"/>
      <c r="G19" s="290"/>
      <c r="H19" s="290"/>
      <c r="I19" s="290"/>
      <c r="J19" s="290"/>
      <c r="K19" s="290"/>
      <c r="L19" s="290"/>
      <c r="M19" s="290"/>
      <c r="N19" s="290"/>
      <c r="O19" s="290"/>
      <c r="P19" s="290"/>
      <c r="Q19" s="290"/>
      <c r="R19" s="290"/>
      <c r="S19" s="290"/>
    </row>
    <row r="20" spans="1:19">
      <c r="A20" s="290"/>
      <c r="B20" s="290"/>
      <c r="C20" s="290"/>
      <c r="D20" s="290"/>
      <c r="E20" s="290"/>
      <c r="F20" s="290"/>
      <c r="G20" s="290"/>
      <c r="H20" s="292"/>
      <c r="I20" s="292"/>
      <c r="J20" s="292"/>
      <c r="K20" s="292"/>
      <c r="L20" s="292"/>
      <c r="M20" s="292"/>
      <c r="N20" s="292"/>
      <c r="O20" s="292"/>
      <c r="P20" s="292"/>
      <c r="Q20" s="292"/>
      <c r="R20" s="292"/>
      <c r="S20" s="292"/>
    </row>
    <row r="21" spans="1:19">
      <c r="A21" s="290"/>
      <c r="B21" s="290"/>
      <c r="C21" s="290"/>
      <c r="D21" s="290"/>
      <c r="E21" s="290"/>
      <c r="F21" s="290"/>
      <c r="G21" s="290"/>
      <c r="H21" s="292"/>
      <c r="I21" s="292"/>
      <c r="J21" s="292"/>
      <c r="K21" s="292"/>
      <c r="L21" s="292"/>
      <c r="M21" s="292"/>
      <c r="N21" s="292"/>
      <c r="O21" s="292"/>
      <c r="P21" s="292"/>
      <c r="Q21" s="292"/>
      <c r="R21" s="292"/>
      <c r="S21" s="292"/>
    </row>
    <row r="22" spans="1:19">
      <c r="A22" s="290"/>
      <c r="B22" s="290"/>
      <c r="C22" s="290"/>
      <c r="D22" s="290"/>
      <c r="E22" s="290"/>
      <c r="F22" s="290"/>
      <c r="G22" s="290"/>
      <c r="H22" s="292"/>
      <c r="I22" s="292"/>
      <c r="J22" s="292"/>
      <c r="K22" s="292"/>
      <c r="L22" s="292"/>
      <c r="M22" s="292"/>
      <c r="N22" s="292"/>
      <c r="O22" s="292"/>
      <c r="P22" s="292"/>
      <c r="Q22" s="292"/>
      <c r="R22" s="292"/>
      <c r="S22" s="292"/>
    </row>
    <row r="23" spans="1:19">
      <c r="A23" s="292"/>
      <c r="B23" s="292"/>
      <c r="C23" s="292"/>
      <c r="D23" s="292"/>
      <c r="E23" s="292"/>
      <c r="F23" s="292"/>
      <c r="G23" s="292"/>
      <c r="H23" s="292"/>
      <c r="I23" s="292"/>
      <c r="J23" s="292"/>
      <c r="K23" s="292"/>
      <c r="L23" s="292"/>
      <c r="M23" s="292"/>
      <c r="N23" s="292"/>
      <c r="O23" s="292"/>
      <c r="P23" s="292"/>
      <c r="Q23" s="292"/>
      <c r="R23" s="292"/>
      <c r="S23" s="292"/>
    </row>
  </sheetData>
  <sheetProtection algorithmName="SHA-512" hashValue="J4POk1z8pYdy5c4NgnYuEfY+W5VENpeGmxbUbr2Jum+lfag9VzYWjxnf3PcJ+l70/zYC8UQLX3NbB2brVlpDdQ==" saltValue="q3QxKNRac+6M7tlwliScKg==" spinCount="100000" sheet="1" objects="1" scenarios="1"/>
  <mergeCells count="4">
    <mergeCell ref="A1:R3"/>
    <mergeCell ref="A4:R4"/>
    <mergeCell ref="A5:P5"/>
    <mergeCell ref="R5:T5"/>
  </mergeCells>
  <hyperlinks>
    <hyperlink ref="A5:O5" r:id="rId1" display="For any futher assistance on this tool, please post your question in the following forum Room - E2E Precision Data Converters Forum" xr:uid="{00000000-0004-0000-0400-000000000000}"/>
    <hyperlink ref="R5" location="'Table of Contents'!B17" display="Table of Contents" xr:uid="{00000000-0004-0000-0400-000001000000}"/>
  </hyperlinks>
  <pageMargins left="0.7" right="0.7" top="0.75" bottom="0.75" header="0.3" footer="0.3"/>
  <pageSetup orientation="portrait" r:id="rId2"/>
  <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6</vt:i4>
      </vt:variant>
      <vt:variant>
        <vt:lpstr>Named Ranges</vt:lpstr>
      </vt:variant>
      <vt:variant>
        <vt:i4>11</vt:i4>
      </vt:variant>
    </vt:vector>
  </HeadingPairs>
  <TitlesOfParts>
    <vt:vector size="17" baseType="lpstr">
      <vt:lpstr>Table of Contents</vt:lpstr>
      <vt:lpstr>Help</vt:lpstr>
      <vt:lpstr>Directions</vt:lpstr>
      <vt:lpstr>Voltage Sensing Calculator</vt:lpstr>
      <vt:lpstr>Device Comparison</vt:lpstr>
      <vt:lpstr>License</vt:lpstr>
      <vt:lpstr>Configs</vt:lpstr>
      <vt:lpstr>Device_List</vt:lpstr>
      <vt:lpstr>Device_List_D</vt:lpstr>
      <vt:lpstr>Device_List_SE</vt:lpstr>
      <vt:lpstr>inputType</vt:lpstr>
      <vt:lpstr>InputTypeColumn</vt:lpstr>
      <vt:lpstr>IntRdiv</vt:lpstr>
      <vt:lpstr>selectConfig</vt:lpstr>
      <vt:lpstr>single</vt:lpstr>
      <vt:lpstr>withoutR3</vt:lpstr>
      <vt:lpstr>withR3</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2006-09-16T00:00:00Z</dcterms:created>
  <dcterms:modified xsi:type="dcterms:W3CDTF">2025-11-21T18:43:58Z</dcterms:modified>
</cp:coreProperties>
</file>