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filterPrivacy="1" showInkAnnotation="0" codeName="ThisWorkbook" defaultThemeVersion="124226"/>
  <xr:revisionPtr revIDLastSave="0" documentId="8_{E93B6698-D682-4254-AE63-B66E025AE58F}" xr6:coauthVersionLast="36" xr6:coauthVersionMax="36" xr10:uidLastSave="{00000000-0000-0000-0000-000000000000}"/>
  <workbookProtection workbookAlgorithmName="SHA-512" workbookHashValue="Tm15lMQvlAUa9qbcsnx4gk3X6hvtEkzmCl5j7tl0ORpfyWzL2n/Ymis67dgSJNfB7ljoHB4etriZeCLH2MJzcg==" workbookSaltValue="wkci2lRcP3E6fxAOAAHO2w==" workbookSpinCount="100000" lockStructure="1"/>
  <bookViews>
    <workbookView xWindow="5985" yWindow="2190" windowWidth="13215" windowHeight="4335" tabRatio="599" xr2:uid="{00000000-000D-0000-FFFF-FFFF00000000}"/>
  </bookViews>
  <sheets>
    <sheet name="Table of Contents" sheetId="14" r:id="rId1"/>
    <sheet name="Help" sheetId="16" r:id="rId2"/>
    <sheet name="Directions" sheetId="24" r:id="rId3"/>
    <sheet name="Voltage Sensing Calculator" sheetId="22" r:id="rId4"/>
    <sheet name="Device Comparison" sheetId="21" r:id="rId5"/>
    <sheet name="License" sheetId="23" r:id="rId6"/>
  </sheets>
  <externalReferences>
    <externalReference r:id="rId7"/>
    <externalReference r:id="rId8"/>
    <externalReference r:id="rId9"/>
  </externalReferences>
  <definedNames>
    <definedName name="Configs">Config[Configuration]</definedName>
    <definedName name="DECIMATION_RATIO">[1]Calculator!$R$82</definedName>
    <definedName name="Device_List">Devices[Part]</definedName>
    <definedName name="Device_List_D">'Device Comparison'!$AF$7:$AF$31</definedName>
    <definedName name="Device_List_N">INDEX(Devices[], 1, COLUMN(#REF!)) : INDEX(Devices[], COUNTA(#REF!)-COUNTBLANK(#REF!), COLUMN(#REF!))</definedName>
    <definedName name="Device_List_SE">'Device Comparison'!$AG$7:$AG$22</definedName>
    <definedName name="FILTER_ORDER">[1]Calculator!$R$83</definedName>
    <definedName name="FIR_BYPASSED" localSheetId="5">'[2]Digital Filter'!$T$84</definedName>
    <definedName name="FIR_BYPASSED">'[3]Digital Filter'!$T$84</definedName>
    <definedName name="FS_IN">[1]Calculator!$Q$101</definedName>
    <definedName name="FS_OUT">[1]Calculator!$T$101</definedName>
    <definedName name="GAIN">[1]Calculator!$R$91</definedName>
    <definedName name="GAIN2">[1]Calculator!$R$93</definedName>
    <definedName name="GAIN3">[1]Calculator!$R$94</definedName>
    <definedName name="inputType">Inputs[Input Type]</definedName>
    <definedName name="InputTypeColumn">Devices[Input Type]</definedName>
    <definedName name="M">[1]Calculator!$R$81</definedName>
    <definedName name="MOD_FREQ">[1]Calculator!$D$8</definedName>
    <definedName name="NORMALIZE">[1]Calculator!$R$92</definedName>
    <definedName name="OSR">[1]Calculator!$D$9</definedName>
    <definedName name="P_DECIMATION_RATIO">[1]Calculator!$U$82</definedName>
    <definedName name="P_FS_OUT">[1]Calculator!$BK$101</definedName>
    <definedName name="P_GAIN">[1]Calculator!$U$91</definedName>
    <definedName name="P_GAIN2">[1]Calculator!$U$93</definedName>
    <definedName name="P_GAIN3">[1]Calculator!$U$94</definedName>
    <definedName name="P_OSR">[1]Calculator!$D$11</definedName>
    <definedName name="Picture">INDIRECT('Voltage Sensing Calculator'!$B$6)</definedName>
    <definedName name="selectConfig">'Device Comparison'!$CB$248</definedName>
    <definedName name="single">'Device Comparison'!$CB$251</definedName>
    <definedName name="Temp_Range">IF((25-'Voltage Sensing Calculator'!$K$15)&gt;('Voltage Sensing Calculator'!$K$16-25),(25-'Voltage Sensing Calculator'!$K$15),('Voltage Sensing Calculator'!$K$16-25))</definedName>
    <definedName name="withoutR3">'Device Comparison'!$CB$249</definedName>
    <definedName name="withR3">'Device Comparison'!$CB$250</definedName>
  </definedNames>
  <calcPr calcId="191029"/>
</workbook>
</file>

<file path=xl/calcChain.xml><?xml version="1.0" encoding="utf-8"?>
<calcChain xmlns="http://schemas.openxmlformats.org/spreadsheetml/2006/main">
  <c r="J50" i="22" l="1"/>
  <c r="J60" i="22"/>
  <c r="J59" i="22"/>
  <c r="J58" i="22"/>
  <c r="J57" i="22"/>
  <c r="J56" i="22"/>
  <c r="J55" i="22"/>
  <c r="AQ50" i="22" l="1"/>
  <c r="AR50" i="22" s="1"/>
  <c r="AS50" i="22" s="1"/>
  <c r="AT50" i="22"/>
  <c r="AU50" i="22"/>
  <c r="AV50" i="22"/>
  <c r="AW50" i="22" s="1"/>
  <c r="AX50" i="22" s="1"/>
  <c r="AY50" i="22" s="1"/>
  <c r="Y10" i="21" l="1"/>
  <c r="AA10" i="21" s="1"/>
  <c r="Z10" i="21"/>
  <c r="Y9" i="21"/>
  <c r="AA9" i="21" s="1"/>
  <c r="Z9" i="21"/>
  <c r="Y8" i="21"/>
  <c r="Z8" i="21" s="1"/>
  <c r="Y11" i="21"/>
  <c r="Z11" i="21" s="1"/>
  <c r="Y12" i="21"/>
  <c r="AA12" i="21" s="1"/>
  <c r="Z12" i="21"/>
  <c r="Y13" i="21"/>
  <c r="Z13" i="21" s="1"/>
  <c r="AA13" i="21"/>
  <c r="AB10" i="21" l="1"/>
  <c r="AB9" i="21"/>
  <c r="AA11" i="21"/>
  <c r="AA8" i="21"/>
  <c r="AB11" i="21"/>
  <c r="AB8" i="21"/>
  <c r="AB13" i="21"/>
  <c r="AB12" i="21"/>
  <c r="L53" i="22" l="1"/>
  <c r="H66" i="22" l="1"/>
  <c r="L54" i="22"/>
  <c r="E39" i="22"/>
  <c r="G42" i="22"/>
  <c r="E42" i="22"/>
  <c r="AQ58" i="22" l="1"/>
  <c r="AR58" i="22" s="1"/>
  <c r="AS58" i="22" s="1"/>
  <c r="AT58" i="22"/>
  <c r="AU58" i="22" s="1"/>
  <c r="AV58" i="22" s="1"/>
  <c r="AW58" i="22" s="1"/>
  <c r="AX58" i="22" s="1"/>
  <c r="AY58" i="22" s="1"/>
  <c r="N23" i="22" l="1"/>
  <c r="N22" i="22"/>
  <c r="N19" i="22"/>
  <c r="Y39" i="21" l="1"/>
  <c r="AA39" i="21" s="1"/>
  <c r="Z39" i="21"/>
  <c r="Y32" i="21"/>
  <c r="Z32" i="21"/>
  <c r="AA32" i="21"/>
  <c r="AB32" i="21"/>
  <c r="Y31" i="21"/>
  <c r="AA31" i="21" s="1"/>
  <c r="Z31" i="21"/>
  <c r="Y26" i="21"/>
  <c r="AA26" i="21" s="1"/>
  <c r="Z26" i="21"/>
  <c r="Y27" i="21"/>
  <c r="AA27" i="21" s="1"/>
  <c r="Z27" i="21"/>
  <c r="AB27" i="21"/>
  <c r="Y25" i="21"/>
  <c r="AA25" i="21" s="1"/>
  <c r="Z25" i="21"/>
  <c r="Y28" i="21"/>
  <c r="AA28" i="21" s="1"/>
  <c r="Z28" i="21"/>
  <c r="Y30" i="21"/>
  <c r="AA30" i="21" s="1"/>
  <c r="Z30" i="21"/>
  <c r="Y15" i="21"/>
  <c r="AA15" i="21" s="1"/>
  <c r="Z15" i="21"/>
  <c r="AB15" i="21"/>
  <c r="AB39" i="21" l="1"/>
  <c r="AB31" i="21"/>
  <c r="AB26" i="21"/>
  <c r="AB25" i="21"/>
  <c r="AB28" i="21"/>
  <c r="AB30" i="21"/>
  <c r="AQ52" i="22"/>
  <c r="AR52" i="22" s="1"/>
  <c r="AS52" i="22" s="1"/>
  <c r="AT52" i="22"/>
  <c r="AU52" i="22" s="1"/>
  <c r="AV52" i="22" s="1"/>
  <c r="AW52" i="22" s="1"/>
  <c r="AX52" i="22" s="1"/>
  <c r="AY52" i="22" s="1"/>
  <c r="AQ55" i="22"/>
  <c r="AR55" i="22" s="1"/>
  <c r="AS55" i="22" s="1"/>
  <c r="AT55" i="22"/>
  <c r="AU55" i="22" s="1"/>
  <c r="AV55" i="22" s="1"/>
  <c r="AW55" i="22" s="1"/>
  <c r="AX55" i="22" s="1"/>
  <c r="AY55" i="22" s="1"/>
  <c r="AQ56" i="22"/>
  <c r="AR56" i="22" s="1"/>
  <c r="AS56" i="22" s="1"/>
  <c r="AT56" i="22"/>
  <c r="AU56" i="22" s="1"/>
  <c r="AV56" i="22" s="1"/>
  <c r="AW56" i="22" s="1"/>
  <c r="AX56" i="22" s="1"/>
  <c r="AY56" i="22" s="1"/>
  <c r="AQ57" i="22"/>
  <c r="AR57" i="22" s="1"/>
  <c r="AS57" i="22" s="1"/>
  <c r="AT57" i="22"/>
  <c r="AU57" i="22" s="1"/>
  <c r="AV57" i="22" s="1"/>
  <c r="AW57" i="22" s="1"/>
  <c r="AX57" i="22" s="1"/>
  <c r="AY57" i="22" s="1"/>
  <c r="AT31" i="22"/>
  <c r="AU31" i="22" s="1"/>
  <c r="AV31" i="22" s="1"/>
  <c r="AW31" i="22" s="1"/>
  <c r="AX31" i="22" s="1"/>
  <c r="AY31" i="22" s="1"/>
  <c r="AQ31" i="22"/>
  <c r="AR31" i="22" s="1"/>
  <c r="AS31" i="22" s="1"/>
  <c r="E44" i="22" l="1"/>
  <c r="F44" i="22"/>
  <c r="AQ44" i="22" l="1"/>
  <c r="AR44" i="22" s="1"/>
  <c r="AS44" i="22" s="1"/>
  <c r="AT44" i="22"/>
  <c r="AU44" i="22" s="1"/>
  <c r="AV44" i="22" s="1"/>
  <c r="AW44" i="22" s="1"/>
  <c r="AX44" i="22" s="1"/>
  <c r="AY44" i="22" s="1"/>
  <c r="Y41" i="21" l="1"/>
  <c r="AA41" i="21" s="1"/>
  <c r="Z41" i="21"/>
  <c r="AB41" i="21"/>
  <c r="Y42" i="21"/>
  <c r="Z42" i="21" s="1"/>
  <c r="AB42" i="21" l="1"/>
  <c r="AA42" i="21"/>
  <c r="Y60" i="21" l="1"/>
  <c r="Z60" i="21" s="1"/>
  <c r="AA60" i="21"/>
  <c r="AB60" i="21"/>
  <c r="Y61" i="21"/>
  <c r="Z61" i="21" s="1"/>
  <c r="AA61" i="21"/>
  <c r="AB61" i="21"/>
  <c r="Y62" i="21"/>
  <c r="Z62" i="21" s="1"/>
  <c r="AA62" i="21"/>
  <c r="Y63" i="21"/>
  <c r="Z63" i="21" s="1"/>
  <c r="AA63" i="21"/>
  <c r="AB63" i="21"/>
  <c r="AB62" i="21" l="1"/>
  <c r="Y58" i="21"/>
  <c r="Z58" i="21" s="1"/>
  <c r="AA58" i="21"/>
  <c r="AB58" i="21"/>
  <c r="Y57" i="21"/>
  <c r="Z57" i="21" s="1"/>
  <c r="AA57" i="21"/>
  <c r="AB57" i="21"/>
  <c r="Y54" i="21"/>
  <c r="Z54" i="21" s="1"/>
  <c r="AA54" i="21"/>
  <c r="Y55" i="21"/>
  <c r="AA55" i="21" s="1"/>
  <c r="Y53" i="21"/>
  <c r="Z53" i="21" s="1"/>
  <c r="AA53" i="21"/>
  <c r="AB53" i="21"/>
  <c r="Y56" i="21"/>
  <c r="Z56" i="21" s="1"/>
  <c r="AA56" i="21"/>
  <c r="AB56" i="21"/>
  <c r="Y59" i="21"/>
  <c r="AA59" i="21" s="1"/>
  <c r="AB59" i="21"/>
  <c r="Y77" i="21"/>
  <c r="AA77" i="21" s="1"/>
  <c r="Z77" i="21"/>
  <c r="AB77" i="21"/>
  <c r="Y64" i="21"/>
  <c r="Z64" i="21" s="1"/>
  <c r="Y65" i="21"/>
  <c r="Z65" i="21" s="1"/>
  <c r="Y66" i="21"/>
  <c r="AB66" i="21" s="1"/>
  <c r="Y67" i="21"/>
  <c r="Z67" i="21" s="1"/>
  <c r="Y68" i="21"/>
  <c r="AB68" i="21" s="1"/>
  <c r="Y69" i="21"/>
  <c r="Z69" i="21" s="1"/>
  <c r="Y51" i="21"/>
  <c r="Z51" i="21" s="1"/>
  <c r="AA51" i="21"/>
  <c r="AB51" i="21"/>
  <c r="Y46" i="21"/>
  <c r="AB46" i="21" s="1"/>
  <c r="Y47" i="21"/>
  <c r="Z47" i="21" s="1"/>
  <c r="Y48" i="21"/>
  <c r="Z48" i="21" s="1"/>
  <c r="AA48" i="21"/>
  <c r="Y49" i="21"/>
  <c r="AA49" i="21" s="1"/>
  <c r="Y50" i="21"/>
  <c r="AA50" i="21" s="1"/>
  <c r="Y44" i="21"/>
  <c r="AA44" i="21" s="1"/>
  <c r="Y45" i="21"/>
  <c r="Z45" i="21" s="1"/>
  <c r="Y52" i="21"/>
  <c r="AA52" i="21" s="1"/>
  <c r="Y43" i="21"/>
  <c r="Z43" i="21" s="1"/>
  <c r="AA43" i="21"/>
  <c r="AB43" i="21"/>
  <c r="Z66" i="21" l="1"/>
  <c r="Z59" i="21"/>
  <c r="Z55" i="21"/>
  <c r="AB54" i="21"/>
  <c r="AB55" i="21"/>
  <c r="AA66" i="21"/>
  <c r="Z52" i="21"/>
  <c r="AB65" i="21"/>
  <c r="AA65" i="21"/>
  <c r="AB64" i="21"/>
  <c r="AA64" i="21"/>
  <c r="AB67" i="21"/>
  <c r="AA68" i="21"/>
  <c r="Z68" i="21"/>
  <c r="AA67" i="21"/>
  <c r="Z49" i="21"/>
  <c r="AB69" i="21"/>
  <c r="AA69" i="21"/>
  <c r="AB49" i="21"/>
  <c r="AA46" i="21"/>
  <c r="Z46" i="21"/>
  <c r="AB48" i="21"/>
  <c r="AA45" i="21"/>
  <c r="AB50" i="21"/>
  <c r="Z44" i="21"/>
  <c r="Z50" i="21"/>
  <c r="AB47" i="21"/>
  <c r="AA47" i="21"/>
  <c r="AB44" i="21"/>
  <c r="AB45" i="21"/>
  <c r="AB52" i="21"/>
  <c r="B30" i="22" l="1"/>
  <c r="K21" i="22" l="1"/>
  <c r="B62" i="22"/>
  <c r="AF48" i="22" l="1"/>
  <c r="AF47" i="22"/>
  <c r="AF40" i="22"/>
  <c r="AF39" i="22"/>
  <c r="AG36" i="22"/>
  <c r="AG37" i="22" s="1"/>
  <c r="AG35" i="22" l="1"/>
  <c r="AG39" i="22" s="1"/>
  <c r="AG40" i="22"/>
  <c r="Y14" i="21"/>
  <c r="Z14" i="21" s="1"/>
  <c r="Y16" i="21"/>
  <c r="Z16" i="21" s="1"/>
  <c r="Y17" i="21"/>
  <c r="Z17" i="21" s="1"/>
  <c r="Y18" i="21"/>
  <c r="Z18" i="21" s="1"/>
  <c r="Y19" i="21"/>
  <c r="Z19" i="21" s="1"/>
  <c r="Y20" i="21"/>
  <c r="Z20" i="21" s="1"/>
  <c r="Y21" i="21"/>
  <c r="Z21" i="21" s="1"/>
  <c r="Y22" i="21"/>
  <c r="Z22" i="21" s="1"/>
  <c r="Y23" i="21"/>
  <c r="Z23" i="21" s="1"/>
  <c r="Y24" i="21"/>
  <c r="Z24" i="21" s="1"/>
  <c r="Y29" i="21"/>
  <c r="Y33" i="21"/>
  <c r="Z33" i="21" s="1"/>
  <c r="Y34" i="21"/>
  <c r="Z34" i="21" s="1"/>
  <c r="Y35" i="21"/>
  <c r="Z35" i="21" s="1"/>
  <c r="Y36" i="21"/>
  <c r="Z36" i="21" s="1"/>
  <c r="Y37" i="21"/>
  <c r="Z37" i="21" s="1"/>
  <c r="Y38" i="21"/>
  <c r="Z38" i="21" s="1"/>
  <c r="Y40" i="21"/>
  <c r="Z40" i="21" s="1"/>
  <c r="Y70" i="21"/>
  <c r="AA70" i="21" s="1"/>
  <c r="Y71" i="21"/>
  <c r="AA71" i="21" s="1"/>
  <c r="Y72" i="21"/>
  <c r="AA72" i="21" s="1"/>
  <c r="Y73" i="21"/>
  <c r="AA73" i="21" s="1"/>
  <c r="Y74" i="21"/>
  <c r="AA74" i="21" s="1"/>
  <c r="Y75" i="21"/>
  <c r="AA75" i="21" s="1"/>
  <c r="Y76" i="21"/>
  <c r="AA76" i="21" s="1"/>
  <c r="Y78" i="21"/>
  <c r="AA78" i="21" s="1"/>
  <c r="Y79" i="21"/>
  <c r="AA79" i="21" s="1"/>
  <c r="Z29" i="21"/>
  <c r="Z73" i="21"/>
  <c r="Z74" i="21"/>
  <c r="Z75" i="21"/>
  <c r="Z76" i="21"/>
  <c r="Z78" i="21"/>
  <c r="Z79" i="21"/>
  <c r="AA14" i="21"/>
  <c r="AA16" i="21"/>
  <c r="AA17" i="21"/>
  <c r="AA18" i="21"/>
  <c r="AA19" i="21"/>
  <c r="AA20" i="21"/>
  <c r="AA21" i="21"/>
  <c r="AA22" i="21"/>
  <c r="AA23" i="21"/>
  <c r="AA24" i="21"/>
  <c r="AA29" i="21"/>
  <c r="AA33" i="21"/>
  <c r="AA34" i="21"/>
  <c r="AA35" i="21"/>
  <c r="AA36" i="21"/>
  <c r="AA37" i="21"/>
  <c r="AA38" i="21"/>
  <c r="AB14" i="21"/>
  <c r="AB16" i="21"/>
  <c r="AB17" i="21"/>
  <c r="AB18" i="21"/>
  <c r="AB19" i="21"/>
  <c r="AB20" i="21"/>
  <c r="AB21" i="21"/>
  <c r="AB22" i="21"/>
  <c r="AB23" i="21"/>
  <c r="AB24" i="21"/>
  <c r="AB29" i="21"/>
  <c r="AB33" i="21"/>
  <c r="AB34" i="21"/>
  <c r="AB35" i="21"/>
  <c r="AB36" i="21"/>
  <c r="AB37" i="21"/>
  <c r="AB38" i="21"/>
  <c r="AB73" i="21"/>
  <c r="AB74" i="21"/>
  <c r="AB75" i="21"/>
  <c r="AB76" i="21"/>
  <c r="AB78" i="21"/>
  <c r="AB79" i="21"/>
  <c r="AA40" i="21" l="1"/>
  <c r="Z72" i="21"/>
  <c r="Z71" i="21"/>
  <c r="AB72" i="21"/>
  <c r="AB71" i="21"/>
  <c r="Z70" i="21"/>
  <c r="AB70" i="21"/>
  <c r="AB40" i="21"/>
  <c r="E34" i="22"/>
  <c r="G34" i="22"/>
  <c r="B28" i="22"/>
  <c r="B27" i="22" l="1"/>
  <c r="B26" i="22"/>
  <c r="AF21" i="22"/>
  <c r="AU8" i="22"/>
  <c r="AU9" i="22"/>
  <c r="AU10" i="22"/>
  <c r="AU11" i="22"/>
  <c r="AU12" i="22"/>
  <c r="AU13" i="22"/>
  <c r="AU14" i="22"/>
  <c r="AU15" i="22"/>
  <c r="AU16" i="22"/>
  <c r="AU17" i="22"/>
  <c r="AU18" i="22"/>
  <c r="AU19" i="22"/>
  <c r="AU20" i="22"/>
  <c r="AU21" i="22"/>
  <c r="AU22" i="22"/>
  <c r="AU23" i="22"/>
  <c r="AU24" i="22"/>
  <c r="AU25" i="22"/>
  <c r="AU26" i="22"/>
  <c r="AU27" i="22"/>
  <c r="AU28" i="22"/>
  <c r="AU29" i="22"/>
  <c r="AU30" i="22"/>
  <c r="AU32" i="22"/>
  <c r="AU33" i="22"/>
  <c r="AU34" i="22"/>
  <c r="AU35" i="22"/>
  <c r="AU36" i="22"/>
  <c r="AU37" i="22"/>
  <c r="AU38" i="22"/>
  <c r="AU39" i="22"/>
  <c r="AU40" i="22"/>
  <c r="AU41" i="22"/>
  <c r="AU42" i="22"/>
  <c r="AU43" i="22"/>
  <c r="AU45" i="22"/>
  <c r="AU46" i="22"/>
  <c r="AU47" i="22"/>
  <c r="AU48" i="22"/>
  <c r="AU49" i="22"/>
  <c r="AU51" i="22"/>
  <c r="AU53" i="22"/>
  <c r="AU54" i="22"/>
  <c r="AU59" i="22"/>
  <c r="AU60" i="22"/>
  <c r="AU61" i="22"/>
  <c r="AU62" i="22"/>
  <c r="AU63" i="22"/>
  <c r="AU64" i="22"/>
  <c r="AU65" i="22"/>
  <c r="AU66" i="22"/>
  <c r="AU67" i="22"/>
  <c r="AU68" i="22"/>
  <c r="AU69" i="22"/>
  <c r="AU70" i="22"/>
  <c r="AU71" i="22"/>
  <c r="AU72" i="22"/>
  <c r="AU73" i="22"/>
  <c r="AU74" i="22"/>
  <c r="AU75" i="22"/>
  <c r="AU76" i="22"/>
  <c r="AU77" i="22"/>
  <c r="AU78" i="22"/>
  <c r="AU79" i="22"/>
  <c r="AU80" i="22"/>
  <c r="AU81" i="22"/>
  <c r="AU82" i="22"/>
  <c r="AU83" i="22"/>
  <c r="AU84" i="22"/>
  <c r="AU85" i="22"/>
  <c r="AU86" i="22"/>
  <c r="AU87" i="22"/>
  <c r="AU88" i="22"/>
  <c r="AU89" i="22"/>
  <c r="AU90" i="22"/>
  <c r="AU91" i="22"/>
  <c r="AU92" i="22"/>
  <c r="AU93" i="22"/>
  <c r="AU94" i="22"/>
  <c r="AU95" i="22"/>
  <c r="AU96" i="22"/>
  <c r="AU97" i="22"/>
  <c r="AU98" i="22"/>
  <c r="AU99" i="22"/>
  <c r="AU100" i="22"/>
  <c r="AU101" i="22"/>
  <c r="AU102" i="22"/>
  <c r="AU103" i="22"/>
  <c r="AU104" i="22"/>
  <c r="AU105" i="22"/>
  <c r="AU106" i="22"/>
  <c r="AU107" i="22"/>
  <c r="AU108" i="22"/>
  <c r="AU109" i="22"/>
  <c r="AU110" i="22"/>
  <c r="AU7" i="22"/>
  <c r="E31" i="22" l="1"/>
  <c r="AC30" i="22" s="1"/>
  <c r="AG28" i="22" l="1"/>
  <c r="AG29" i="22" s="1"/>
  <c r="AG27" i="22" l="1"/>
  <c r="Y7" i="21"/>
  <c r="Z7" i="21" s="1"/>
  <c r="AC9" i="21" l="1"/>
  <c r="AF9" i="21" s="1"/>
  <c r="AC10" i="21"/>
  <c r="AF10" i="21" s="1"/>
  <c r="AC8" i="21"/>
  <c r="AF8" i="21" s="1"/>
  <c r="AC11" i="21"/>
  <c r="AF11" i="21" s="1"/>
  <c r="AC13" i="21"/>
  <c r="AF13" i="21" s="1"/>
  <c r="AC12" i="21"/>
  <c r="AF12" i="21" s="1"/>
  <c r="AC32" i="21"/>
  <c r="AF32" i="21" s="1"/>
  <c r="AC39" i="21"/>
  <c r="AF39" i="21" s="1"/>
  <c r="AC26" i="21"/>
  <c r="AF26" i="21" s="1"/>
  <c r="AC31" i="21"/>
  <c r="AF31" i="21" s="1"/>
  <c r="AC25" i="21"/>
  <c r="AF25" i="21" s="1"/>
  <c r="AC27" i="21"/>
  <c r="AF27" i="21" s="1"/>
  <c r="AC30" i="21"/>
  <c r="AF30" i="21" s="1"/>
  <c r="AC28" i="21"/>
  <c r="AF28" i="21" s="1"/>
  <c r="AC41" i="21"/>
  <c r="AF41" i="21" s="1"/>
  <c r="AC15" i="21"/>
  <c r="AF15" i="21" s="1"/>
  <c r="AC60" i="21"/>
  <c r="AF60" i="21" s="1"/>
  <c r="AC42" i="21"/>
  <c r="AF42" i="21" s="1"/>
  <c r="AC62" i="21"/>
  <c r="AF62" i="21" s="1"/>
  <c r="AC61" i="21"/>
  <c r="AF61" i="21" s="1"/>
  <c r="AC63" i="21"/>
  <c r="AF63" i="21" s="1"/>
  <c r="AC57" i="21"/>
  <c r="AF57" i="21" s="1"/>
  <c r="AC58" i="21"/>
  <c r="AF58" i="21" s="1"/>
  <c r="AC55" i="21"/>
  <c r="AF55" i="21" s="1"/>
  <c r="AC54" i="21"/>
  <c r="AF54" i="21" s="1"/>
  <c r="AC56" i="21"/>
  <c r="AF56" i="21" s="1"/>
  <c r="AC53" i="21"/>
  <c r="AF53" i="21" s="1"/>
  <c r="AC77" i="21"/>
  <c r="AF77" i="21" s="1"/>
  <c r="AC59" i="21"/>
  <c r="AF59" i="21" s="1"/>
  <c r="AC65" i="21"/>
  <c r="AF65" i="21" s="1"/>
  <c r="AC64" i="21"/>
  <c r="AF64" i="21" s="1"/>
  <c r="AC67" i="21"/>
  <c r="AF67" i="21" s="1"/>
  <c r="AC66" i="21"/>
  <c r="AF66" i="21" s="1"/>
  <c r="AC69" i="21"/>
  <c r="AF69" i="21" s="1"/>
  <c r="AC68" i="21"/>
  <c r="AF68" i="21" s="1"/>
  <c r="AC46" i="21"/>
  <c r="AF46" i="21" s="1"/>
  <c r="AC51" i="21"/>
  <c r="AF51" i="21" s="1"/>
  <c r="AC48" i="21"/>
  <c r="AF48" i="21" s="1"/>
  <c r="AC47" i="21"/>
  <c r="AF47" i="21" s="1"/>
  <c r="AC50" i="21"/>
  <c r="AF50" i="21" s="1"/>
  <c r="AC49" i="21"/>
  <c r="AF49" i="21" s="1"/>
  <c r="AC45" i="21"/>
  <c r="AF45" i="21" s="1"/>
  <c r="AC44" i="21"/>
  <c r="AF44" i="21" s="1"/>
  <c r="AC43" i="21"/>
  <c r="AF43" i="21" s="1"/>
  <c r="AC52" i="21"/>
  <c r="AF52" i="21" s="1"/>
  <c r="AC20" i="21"/>
  <c r="AF20" i="21" s="1"/>
  <c r="AC37" i="21"/>
  <c r="AF37" i="21" s="1"/>
  <c r="AC76" i="21"/>
  <c r="AC17" i="21"/>
  <c r="AF17" i="21" s="1"/>
  <c r="AC36" i="21"/>
  <c r="AF36" i="21" s="1"/>
  <c r="AC74" i="21"/>
  <c r="AC75" i="21"/>
  <c r="AC16" i="21"/>
  <c r="AF16" i="21" s="1"/>
  <c r="AC22" i="21"/>
  <c r="AF22" i="21" s="1"/>
  <c r="AC79" i="21"/>
  <c r="AC40" i="21"/>
  <c r="AF40" i="21" s="1"/>
  <c r="AC33" i="21"/>
  <c r="AF33" i="21" s="1"/>
  <c r="AC14" i="21"/>
  <c r="AF14" i="21" s="1"/>
  <c r="AC73" i="21"/>
  <c r="AC78" i="21"/>
  <c r="AC19" i="21"/>
  <c r="AF19" i="21" s="1"/>
  <c r="AC35" i="21"/>
  <c r="AF35" i="21" s="1"/>
  <c r="AC21" i="21"/>
  <c r="AF21" i="21" s="1"/>
  <c r="AC70" i="21"/>
  <c r="AC24" i="21"/>
  <c r="AF24" i="21" s="1"/>
  <c r="AC38" i="21"/>
  <c r="AF38" i="21" s="1"/>
  <c r="AC71" i="21"/>
  <c r="AC18" i="21"/>
  <c r="AF18" i="21" s="1"/>
  <c r="AC34" i="21"/>
  <c r="AF34" i="21" s="1"/>
  <c r="AC72" i="21"/>
  <c r="AC29" i="21"/>
  <c r="AF29" i="21" s="1"/>
  <c r="AC23" i="21"/>
  <c r="AF23" i="21" s="1"/>
  <c r="AB7" i="21"/>
  <c r="AA7" i="21"/>
  <c r="AC7" i="21"/>
  <c r="AF7" i="21" s="1"/>
  <c r="AD9" i="21" l="1"/>
  <c r="AG9" i="21" s="1"/>
  <c r="AD10" i="21"/>
  <c r="AG10" i="21" s="1"/>
  <c r="AE9" i="21"/>
  <c r="AH9" i="21" s="1"/>
  <c r="AE10" i="21"/>
  <c r="AH10" i="21" s="1"/>
  <c r="AE8" i="21"/>
  <c r="AH8" i="21" s="1"/>
  <c r="AE11" i="21"/>
  <c r="AH11" i="21" s="1"/>
  <c r="AD11" i="21"/>
  <c r="AG11" i="21" s="1"/>
  <c r="AD8" i="21"/>
  <c r="AG8" i="21" s="1"/>
  <c r="AE13" i="21"/>
  <c r="AH13" i="21" s="1"/>
  <c r="AE12" i="21"/>
  <c r="AH12" i="21" s="1"/>
  <c r="AD13" i="21"/>
  <c r="AG13" i="21" s="1"/>
  <c r="AD12" i="21"/>
  <c r="AG12" i="21" s="1"/>
  <c r="AD32" i="21"/>
  <c r="AG32" i="21" s="1"/>
  <c r="AD39" i="21"/>
  <c r="AG39" i="21" s="1"/>
  <c r="AE32" i="21"/>
  <c r="AH32" i="21" s="1"/>
  <c r="AE39" i="21"/>
  <c r="AH39" i="21" s="1"/>
  <c r="AD26" i="21"/>
  <c r="AG26" i="21" s="1"/>
  <c r="AD31" i="21"/>
  <c r="AG31" i="21" s="1"/>
  <c r="AE26" i="21"/>
  <c r="AH26" i="21" s="1"/>
  <c r="AE31" i="21"/>
  <c r="AH31" i="21" s="1"/>
  <c r="AD25" i="21"/>
  <c r="AG25" i="21" s="1"/>
  <c r="AD27" i="21"/>
  <c r="AG27" i="21" s="1"/>
  <c r="AE25" i="21"/>
  <c r="AH25" i="21" s="1"/>
  <c r="AE27" i="21"/>
  <c r="AH27" i="21" s="1"/>
  <c r="AE30" i="21"/>
  <c r="AH30" i="21" s="1"/>
  <c r="AE28" i="21"/>
  <c r="AH28" i="21" s="1"/>
  <c r="AD30" i="21"/>
  <c r="AG30" i="21" s="1"/>
  <c r="AD28" i="21"/>
  <c r="AG28" i="21" s="1"/>
  <c r="AE41" i="21"/>
  <c r="AH41" i="21" s="1"/>
  <c r="AE15" i="21"/>
  <c r="AH15" i="21" s="1"/>
  <c r="AD41" i="21"/>
  <c r="AG41" i="21" s="1"/>
  <c r="AD15" i="21"/>
  <c r="AG15" i="21" s="1"/>
  <c r="AD60" i="21"/>
  <c r="AG60" i="21" s="1"/>
  <c r="AD42" i="21"/>
  <c r="AG42" i="21" s="1"/>
  <c r="AE60" i="21"/>
  <c r="AH60" i="21" s="1"/>
  <c r="AE42" i="21"/>
  <c r="AH42" i="21" s="1"/>
  <c r="AE62" i="21"/>
  <c r="AH62" i="21" s="1"/>
  <c r="AE61" i="21"/>
  <c r="AH61" i="21" s="1"/>
  <c r="AD62" i="21"/>
  <c r="AG62" i="21" s="1"/>
  <c r="AD61" i="21"/>
  <c r="AG61" i="21" s="1"/>
  <c r="AD63" i="21"/>
  <c r="AG63" i="21" s="1"/>
  <c r="AE63" i="21"/>
  <c r="AH63" i="21" s="1"/>
  <c r="AD57" i="21"/>
  <c r="AG57" i="21" s="1"/>
  <c r="AD58" i="21"/>
  <c r="AG58" i="21" s="1"/>
  <c r="AE57" i="21"/>
  <c r="AH57" i="21" s="1"/>
  <c r="AE58" i="21"/>
  <c r="AH58" i="21" s="1"/>
  <c r="AD55" i="21"/>
  <c r="AG55" i="21" s="1"/>
  <c r="AD54" i="21"/>
  <c r="AG54" i="21" s="1"/>
  <c r="AE55" i="21"/>
  <c r="AH55" i="21" s="1"/>
  <c r="AE54" i="21"/>
  <c r="AH54" i="21" s="1"/>
  <c r="AE56" i="21"/>
  <c r="AH56" i="21" s="1"/>
  <c r="AE53" i="21"/>
  <c r="AH53" i="21" s="1"/>
  <c r="AD56" i="21"/>
  <c r="AG56" i="21" s="1"/>
  <c r="AD53" i="21"/>
  <c r="AG53" i="21" s="1"/>
  <c r="AD77" i="21"/>
  <c r="AG77" i="21" s="1"/>
  <c r="AD59" i="21"/>
  <c r="AG59" i="21" s="1"/>
  <c r="AE77" i="21"/>
  <c r="AH77" i="21" s="1"/>
  <c r="AE59" i="21"/>
  <c r="AH59" i="21" s="1"/>
  <c r="AD65" i="21"/>
  <c r="AG65" i="21" s="1"/>
  <c r="AD64" i="21"/>
  <c r="AG64" i="21" s="1"/>
  <c r="AE65" i="21"/>
  <c r="AH65" i="21" s="1"/>
  <c r="AE64" i="21"/>
  <c r="AH64" i="21" s="1"/>
  <c r="AE67" i="21"/>
  <c r="AH67" i="21" s="1"/>
  <c r="AE66" i="21"/>
  <c r="AH66" i="21" s="1"/>
  <c r="AD67" i="21"/>
  <c r="AG67" i="21" s="1"/>
  <c r="AD66" i="21"/>
  <c r="AG66" i="21" s="1"/>
  <c r="AE69" i="21"/>
  <c r="AH69" i="21" s="1"/>
  <c r="AE68" i="21"/>
  <c r="AH68" i="21" s="1"/>
  <c r="AD69" i="21"/>
  <c r="AG69" i="21" s="1"/>
  <c r="AD68" i="21"/>
  <c r="AG68" i="21" s="1"/>
  <c r="AD46" i="21"/>
  <c r="AG46" i="21" s="1"/>
  <c r="AD51" i="21"/>
  <c r="AG51" i="21" s="1"/>
  <c r="AE46" i="21"/>
  <c r="AH46" i="21" s="1"/>
  <c r="AE51" i="21"/>
  <c r="AH51" i="21" s="1"/>
  <c r="AD48" i="21"/>
  <c r="AG48" i="21" s="1"/>
  <c r="AD47" i="21"/>
  <c r="AG47" i="21" s="1"/>
  <c r="AE48" i="21"/>
  <c r="AH48" i="21" s="1"/>
  <c r="AE47" i="21"/>
  <c r="AH47" i="21" s="1"/>
  <c r="AD50" i="21"/>
  <c r="AG50" i="21" s="1"/>
  <c r="AD49" i="21"/>
  <c r="AG49" i="21" s="1"/>
  <c r="AE50" i="21"/>
  <c r="AH50" i="21" s="1"/>
  <c r="AE49" i="21"/>
  <c r="AH49" i="21" s="1"/>
  <c r="AE45" i="21"/>
  <c r="AH45" i="21" s="1"/>
  <c r="AE44" i="21"/>
  <c r="AH44" i="21" s="1"/>
  <c r="AD45" i="21"/>
  <c r="AG45" i="21" s="1"/>
  <c r="AD44" i="21"/>
  <c r="AG44" i="21" s="1"/>
  <c r="AD43" i="21"/>
  <c r="AG43" i="21" s="1"/>
  <c r="AD52" i="21"/>
  <c r="AG52" i="21" s="1"/>
  <c r="AE43" i="21"/>
  <c r="AH43" i="21" s="1"/>
  <c r="AE52" i="21"/>
  <c r="AH52" i="21" s="1"/>
  <c r="AD72" i="21"/>
  <c r="AG72" i="21" s="1"/>
  <c r="AD71" i="21"/>
  <c r="AG71" i="21" s="1"/>
  <c r="AD75" i="21"/>
  <c r="AG75" i="21" s="1"/>
  <c r="AD20" i="21"/>
  <c r="AG20" i="21" s="1"/>
  <c r="AD78" i="21"/>
  <c r="AG78" i="21" s="1"/>
  <c r="AD19" i="21"/>
  <c r="AG19" i="21" s="1"/>
  <c r="AD17" i="21"/>
  <c r="AG17" i="21" s="1"/>
  <c r="AD79" i="21"/>
  <c r="AG79" i="21" s="1"/>
  <c r="AD70" i="21"/>
  <c r="AG70" i="21" s="1"/>
  <c r="AD35" i="21"/>
  <c r="AG35" i="21" s="1"/>
  <c r="AD33" i="21"/>
  <c r="AG33" i="21" s="1"/>
  <c r="AD22" i="21"/>
  <c r="AG22" i="21" s="1"/>
  <c r="AD38" i="21"/>
  <c r="AG38" i="21" s="1"/>
  <c r="AD73" i="21"/>
  <c r="AG73" i="21" s="1"/>
  <c r="AD14" i="21"/>
  <c r="AG14" i="21" s="1"/>
  <c r="AD76" i="21"/>
  <c r="AG76" i="21" s="1"/>
  <c r="AD74" i="21"/>
  <c r="AG74" i="21" s="1"/>
  <c r="AD24" i="21"/>
  <c r="AG24" i="21" s="1"/>
  <c r="AD18" i="21"/>
  <c r="AG18" i="21" s="1"/>
  <c r="AD29" i="21"/>
  <c r="AG29" i="21" s="1"/>
  <c r="AD23" i="21"/>
  <c r="AG23" i="21" s="1"/>
  <c r="AD21" i="21"/>
  <c r="AG21" i="21" s="1"/>
  <c r="AD36" i="21"/>
  <c r="AG36" i="21" s="1"/>
  <c r="AD34" i="21"/>
  <c r="AG34" i="21" s="1"/>
  <c r="AD40" i="21"/>
  <c r="AG40" i="21" s="1"/>
  <c r="AD37" i="21"/>
  <c r="AG37" i="21" s="1"/>
  <c r="AD16" i="21"/>
  <c r="AG16" i="21" s="1"/>
  <c r="AE79" i="21"/>
  <c r="AH79" i="21" s="1"/>
  <c r="AE29" i="21"/>
  <c r="AH29" i="21" s="1"/>
  <c r="AE75" i="21"/>
  <c r="AH75" i="21" s="1"/>
  <c r="AE76" i="21"/>
  <c r="AH76" i="21" s="1"/>
  <c r="AE40" i="21"/>
  <c r="AH40" i="21" s="1"/>
  <c r="AE36" i="21"/>
  <c r="AH36" i="21" s="1"/>
  <c r="AE14" i="21"/>
  <c r="AH14" i="21" s="1"/>
  <c r="AE74" i="21"/>
  <c r="AH74" i="21" s="1"/>
  <c r="AE78" i="21"/>
  <c r="AH78" i="21" s="1"/>
  <c r="AE33" i="21"/>
  <c r="AH33" i="21" s="1"/>
  <c r="AE17" i="21"/>
  <c r="AH17" i="21" s="1"/>
  <c r="AE24" i="21"/>
  <c r="AH24" i="21" s="1"/>
  <c r="AE73" i="21"/>
  <c r="AH73" i="21" s="1"/>
  <c r="AE7" i="21"/>
  <c r="AH7" i="21" s="1"/>
  <c r="AE16" i="21"/>
  <c r="AH16" i="21" s="1"/>
  <c r="AE37" i="21"/>
  <c r="AH37" i="21" s="1"/>
  <c r="AD7" i="21"/>
  <c r="AG7" i="21" s="1"/>
  <c r="AE23" i="21"/>
  <c r="AH23" i="21" s="1"/>
  <c r="AE18" i="21"/>
  <c r="AH18" i="21" s="1"/>
  <c r="AE22" i="21"/>
  <c r="AH22" i="21" s="1"/>
  <c r="AE21" i="21"/>
  <c r="AH21" i="21" s="1"/>
  <c r="AE72" i="21"/>
  <c r="AH72" i="21" s="1"/>
  <c r="AE70" i="21"/>
  <c r="AH70" i="21" s="1"/>
  <c r="AE35" i="21"/>
  <c r="AH35" i="21" s="1"/>
  <c r="AE19" i="21"/>
  <c r="AH19" i="21" s="1"/>
  <c r="AE20" i="21"/>
  <c r="AH20" i="21" s="1"/>
  <c r="AE71" i="21"/>
  <c r="AH71" i="21" s="1"/>
  <c r="AE34" i="21"/>
  <c r="AH34" i="21" s="1"/>
  <c r="AE38" i="21"/>
  <c r="AH38" i="21" s="1"/>
  <c r="AD9" i="22"/>
  <c r="AV7" i="22"/>
  <c r="AW7" i="22" s="1"/>
  <c r="AX7" i="22" s="1"/>
  <c r="AY7" i="22" s="1"/>
  <c r="AV8" i="22"/>
  <c r="AW8" i="22" s="1"/>
  <c r="AX8" i="22" s="1"/>
  <c r="AY8" i="22" s="1"/>
  <c r="AV9" i="22"/>
  <c r="AW9" i="22" s="1"/>
  <c r="AX9" i="22" s="1"/>
  <c r="AY9" i="22" s="1"/>
  <c r="AV10" i="22"/>
  <c r="AW10" i="22" s="1"/>
  <c r="AX10" i="22" s="1"/>
  <c r="AY10" i="22" s="1"/>
  <c r="AV11" i="22"/>
  <c r="AW11" i="22" s="1"/>
  <c r="AX11" i="22" s="1"/>
  <c r="AY11" i="22" s="1"/>
  <c r="AV12" i="22"/>
  <c r="AW12" i="22" s="1"/>
  <c r="AX12" i="22" s="1"/>
  <c r="AY12" i="22" s="1"/>
  <c r="AV13" i="22"/>
  <c r="AW13" i="22" s="1"/>
  <c r="AX13" i="22" s="1"/>
  <c r="AY13" i="22" s="1"/>
  <c r="AV14" i="22"/>
  <c r="AW14" i="22" s="1"/>
  <c r="AX14" i="22" s="1"/>
  <c r="AY14" i="22" s="1"/>
  <c r="AV15" i="22"/>
  <c r="AW15" i="22" s="1"/>
  <c r="AX15" i="22" s="1"/>
  <c r="AY15" i="22" s="1"/>
  <c r="AV16" i="22"/>
  <c r="AW16" i="22" s="1"/>
  <c r="AX16" i="22" s="1"/>
  <c r="AY16" i="22" s="1"/>
  <c r="AV17" i="22"/>
  <c r="AW17" i="22" s="1"/>
  <c r="AX17" i="22" s="1"/>
  <c r="AY17" i="22" s="1"/>
  <c r="AV18" i="22"/>
  <c r="AW18" i="22" s="1"/>
  <c r="AX18" i="22" s="1"/>
  <c r="AY18" i="22" s="1"/>
  <c r="AV19" i="22"/>
  <c r="AW19" i="22" s="1"/>
  <c r="AX19" i="22" s="1"/>
  <c r="AY19" i="22" s="1"/>
  <c r="AV20" i="22"/>
  <c r="AW20" i="22" s="1"/>
  <c r="AX20" i="22" s="1"/>
  <c r="AY20" i="22" s="1"/>
  <c r="AV21" i="22"/>
  <c r="AW21" i="22" s="1"/>
  <c r="AX21" i="22" s="1"/>
  <c r="AY21" i="22" s="1"/>
  <c r="AV22" i="22"/>
  <c r="AW22" i="22" s="1"/>
  <c r="AX22" i="22" s="1"/>
  <c r="AY22" i="22" s="1"/>
  <c r="AV23" i="22"/>
  <c r="AW23" i="22" s="1"/>
  <c r="AX23" i="22" s="1"/>
  <c r="AY23" i="22" s="1"/>
  <c r="AV24" i="22"/>
  <c r="AW24" i="22" s="1"/>
  <c r="AX24" i="22" s="1"/>
  <c r="AY24" i="22" s="1"/>
  <c r="AV25" i="22"/>
  <c r="AW25" i="22" s="1"/>
  <c r="AX25" i="22" s="1"/>
  <c r="AY25" i="22" s="1"/>
  <c r="AV26" i="22"/>
  <c r="AW26" i="22" s="1"/>
  <c r="AX26" i="22" s="1"/>
  <c r="AY26" i="22" s="1"/>
  <c r="AV27" i="22"/>
  <c r="AW27" i="22" s="1"/>
  <c r="AX27" i="22" s="1"/>
  <c r="AY27" i="22" s="1"/>
  <c r="AV28" i="22"/>
  <c r="AW28" i="22" s="1"/>
  <c r="AX28" i="22" s="1"/>
  <c r="AY28" i="22" s="1"/>
  <c r="AV29" i="22"/>
  <c r="AW29" i="22" s="1"/>
  <c r="AX29" i="22" s="1"/>
  <c r="AY29" i="22" s="1"/>
  <c r="AV30" i="22"/>
  <c r="AW30" i="22" s="1"/>
  <c r="AX30" i="22" s="1"/>
  <c r="AY30" i="22" s="1"/>
  <c r="AV32" i="22"/>
  <c r="AW32" i="22" s="1"/>
  <c r="AX32" i="22" s="1"/>
  <c r="AY32" i="22" s="1"/>
  <c r="AV33" i="22"/>
  <c r="AW33" i="22" s="1"/>
  <c r="AX33" i="22" s="1"/>
  <c r="AY33" i="22" s="1"/>
  <c r="AV34" i="22"/>
  <c r="AW34" i="22" s="1"/>
  <c r="AX34" i="22" s="1"/>
  <c r="AY34" i="22" s="1"/>
  <c r="AV35" i="22"/>
  <c r="AW35" i="22" s="1"/>
  <c r="AX35" i="22" s="1"/>
  <c r="AY35" i="22" s="1"/>
  <c r="AV36" i="22"/>
  <c r="AW36" i="22" s="1"/>
  <c r="AX36" i="22" s="1"/>
  <c r="AY36" i="22" s="1"/>
  <c r="AV37" i="22"/>
  <c r="AW37" i="22" s="1"/>
  <c r="AX37" i="22" s="1"/>
  <c r="AY37" i="22" s="1"/>
  <c r="AV38" i="22"/>
  <c r="AW38" i="22" s="1"/>
  <c r="AX38" i="22" s="1"/>
  <c r="AY38" i="22" s="1"/>
  <c r="AV39" i="22"/>
  <c r="AW39" i="22" s="1"/>
  <c r="AX39" i="22" s="1"/>
  <c r="AY39" i="22" s="1"/>
  <c r="AV40" i="22"/>
  <c r="AW40" i="22" s="1"/>
  <c r="AX40" i="22" s="1"/>
  <c r="AY40" i="22" s="1"/>
  <c r="AV41" i="22"/>
  <c r="AW41" i="22" s="1"/>
  <c r="AX41" i="22" s="1"/>
  <c r="AY41" i="22" s="1"/>
  <c r="AV42" i="22"/>
  <c r="AW42" i="22" s="1"/>
  <c r="AX42" i="22" s="1"/>
  <c r="AY42" i="22" s="1"/>
  <c r="AV43" i="22"/>
  <c r="AW43" i="22" s="1"/>
  <c r="AX43" i="22" s="1"/>
  <c r="AY43" i="22" s="1"/>
  <c r="AV45" i="22"/>
  <c r="AW45" i="22" s="1"/>
  <c r="AX45" i="22" s="1"/>
  <c r="AY45" i="22" s="1"/>
  <c r="AV46" i="22"/>
  <c r="AW46" i="22" s="1"/>
  <c r="AX46" i="22" s="1"/>
  <c r="AY46" i="22" s="1"/>
  <c r="AV47" i="22"/>
  <c r="AW47" i="22" s="1"/>
  <c r="AX47" i="22" s="1"/>
  <c r="AY47" i="22" s="1"/>
  <c r="AV48" i="22"/>
  <c r="AW48" i="22" s="1"/>
  <c r="AX48" i="22" s="1"/>
  <c r="AY48" i="22" s="1"/>
  <c r="AV49" i="22"/>
  <c r="AW49" i="22" s="1"/>
  <c r="AX49" i="22" s="1"/>
  <c r="AY49" i="22" s="1"/>
  <c r="AV51" i="22"/>
  <c r="AW51" i="22" s="1"/>
  <c r="AX51" i="22" s="1"/>
  <c r="AY51" i="22" s="1"/>
  <c r="AV53" i="22"/>
  <c r="AW53" i="22" s="1"/>
  <c r="AX53" i="22" s="1"/>
  <c r="AY53" i="22" s="1"/>
  <c r="AV54" i="22"/>
  <c r="AW54" i="22" s="1"/>
  <c r="AX54" i="22" s="1"/>
  <c r="AY54" i="22" s="1"/>
  <c r="AV59" i="22"/>
  <c r="AW59" i="22" s="1"/>
  <c r="AX59" i="22" s="1"/>
  <c r="AY59" i="22" s="1"/>
  <c r="AV60" i="22"/>
  <c r="AW60" i="22" s="1"/>
  <c r="AX60" i="22" s="1"/>
  <c r="AY60" i="22" s="1"/>
  <c r="AV61" i="22"/>
  <c r="AW61" i="22" s="1"/>
  <c r="AX61" i="22" s="1"/>
  <c r="AY61" i="22" s="1"/>
  <c r="AV62" i="22"/>
  <c r="AW62" i="22" s="1"/>
  <c r="AX62" i="22" s="1"/>
  <c r="AY62" i="22" s="1"/>
  <c r="AV63" i="22"/>
  <c r="AW63" i="22" s="1"/>
  <c r="AX63" i="22" s="1"/>
  <c r="AY63" i="22" s="1"/>
  <c r="AV64" i="22"/>
  <c r="AW64" i="22" s="1"/>
  <c r="AX64" i="22" s="1"/>
  <c r="AY64" i="22" s="1"/>
  <c r="AV65" i="22"/>
  <c r="AW65" i="22" s="1"/>
  <c r="AX65" i="22" s="1"/>
  <c r="AY65" i="22" s="1"/>
  <c r="AV66" i="22"/>
  <c r="AW66" i="22" s="1"/>
  <c r="AX66" i="22" s="1"/>
  <c r="AY66" i="22" s="1"/>
  <c r="AV67" i="22"/>
  <c r="AW67" i="22" s="1"/>
  <c r="AX67" i="22" s="1"/>
  <c r="AY67" i="22" s="1"/>
  <c r="AV68" i="22"/>
  <c r="AW68" i="22" s="1"/>
  <c r="AX68" i="22" s="1"/>
  <c r="AY68" i="22" s="1"/>
  <c r="AV69" i="22"/>
  <c r="AW69" i="22" s="1"/>
  <c r="AX69" i="22" s="1"/>
  <c r="AY69" i="22" s="1"/>
  <c r="AV70" i="22"/>
  <c r="AW70" i="22" s="1"/>
  <c r="AX70" i="22" s="1"/>
  <c r="AY70" i="22" s="1"/>
  <c r="AV71" i="22"/>
  <c r="AW71" i="22" s="1"/>
  <c r="AX71" i="22" s="1"/>
  <c r="AY71" i="22" s="1"/>
  <c r="AV72" i="22"/>
  <c r="AW72" i="22" s="1"/>
  <c r="AX72" i="22" s="1"/>
  <c r="AY72" i="22" s="1"/>
  <c r="AV73" i="22"/>
  <c r="AW73" i="22" s="1"/>
  <c r="AX73" i="22" s="1"/>
  <c r="AY73" i="22" s="1"/>
  <c r="AV74" i="22"/>
  <c r="AW74" i="22" s="1"/>
  <c r="AX74" i="22" s="1"/>
  <c r="AY74" i="22" s="1"/>
  <c r="AV75" i="22"/>
  <c r="AW75" i="22" s="1"/>
  <c r="AX75" i="22" s="1"/>
  <c r="AY75" i="22" s="1"/>
  <c r="AV76" i="22"/>
  <c r="AW76" i="22" s="1"/>
  <c r="AX76" i="22" s="1"/>
  <c r="AY76" i="22" s="1"/>
  <c r="AV77" i="22"/>
  <c r="AW77" i="22" s="1"/>
  <c r="AX77" i="22" s="1"/>
  <c r="AY77" i="22" s="1"/>
  <c r="AV78" i="22"/>
  <c r="AW78" i="22" s="1"/>
  <c r="AX78" i="22" s="1"/>
  <c r="AY78" i="22" s="1"/>
  <c r="AV79" i="22"/>
  <c r="AW79" i="22" s="1"/>
  <c r="AX79" i="22" s="1"/>
  <c r="AY79" i="22" s="1"/>
  <c r="AV80" i="22"/>
  <c r="AW80" i="22" s="1"/>
  <c r="AX80" i="22" s="1"/>
  <c r="AY80" i="22" s="1"/>
  <c r="AV81" i="22"/>
  <c r="AW81" i="22" s="1"/>
  <c r="AX81" i="22" s="1"/>
  <c r="AY81" i="22" s="1"/>
  <c r="AV82" i="22"/>
  <c r="AW82" i="22" s="1"/>
  <c r="AX82" i="22" s="1"/>
  <c r="AY82" i="22" s="1"/>
  <c r="AV83" i="22"/>
  <c r="AW83" i="22" s="1"/>
  <c r="AX83" i="22" s="1"/>
  <c r="AY83" i="22" s="1"/>
  <c r="AV84" i="22"/>
  <c r="AW84" i="22" s="1"/>
  <c r="AX84" i="22" s="1"/>
  <c r="AY84" i="22" s="1"/>
  <c r="AV85" i="22"/>
  <c r="AW85" i="22" s="1"/>
  <c r="AX85" i="22" s="1"/>
  <c r="AY85" i="22" s="1"/>
  <c r="AV86" i="22"/>
  <c r="AW86" i="22" s="1"/>
  <c r="AX86" i="22" s="1"/>
  <c r="AY86" i="22" s="1"/>
  <c r="AV87" i="22"/>
  <c r="AW87" i="22" s="1"/>
  <c r="AX87" i="22" s="1"/>
  <c r="AY87" i="22" s="1"/>
  <c r="AV88" i="22"/>
  <c r="AW88" i="22" s="1"/>
  <c r="AX88" i="22" s="1"/>
  <c r="AY88" i="22" s="1"/>
  <c r="AV89" i="22"/>
  <c r="AW89" i="22" s="1"/>
  <c r="AX89" i="22" s="1"/>
  <c r="AY89" i="22" s="1"/>
  <c r="AV90" i="22"/>
  <c r="AW90" i="22" s="1"/>
  <c r="AX90" i="22" s="1"/>
  <c r="AY90" i="22" s="1"/>
  <c r="AV91" i="22"/>
  <c r="AW91" i="22" s="1"/>
  <c r="AX91" i="22" s="1"/>
  <c r="AY91" i="22" s="1"/>
  <c r="AV92" i="22"/>
  <c r="AW92" i="22" s="1"/>
  <c r="AX92" i="22" s="1"/>
  <c r="AY92" i="22" s="1"/>
  <c r="AV93" i="22"/>
  <c r="AW93" i="22" s="1"/>
  <c r="AX93" i="22" s="1"/>
  <c r="AY93" i="22" s="1"/>
  <c r="AV94" i="22"/>
  <c r="AW94" i="22" s="1"/>
  <c r="AX94" i="22" s="1"/>
  <c r="AY94" i="22" s="1"/>
  <c r="AV95" i="22"/>
  <c r="AW95" i="22" s="1"/>
  <c r="AX95" i="22" s="1"/>
  <c r="AY95" i="22" s="1"/>
  <c r="AV96" i="22"/>
  <c r="AW96" i="22" s="1"/>
  <c r="AX96" i="22" s="1"/>
  <c r="AY96" i="22" s="1"/>
  <c r="AV97" i="22"/>
  <c r="AW97" i="22" s="1"/>
  <c r="AX97" i="22" s="1"/>
  <c r="AY97" i="22" s="1"/>
  <c r="AV98" i="22"/>
  <c r="AW98" i="22" s="1"/>
  <c r="AX98" i="22" s="1"/>
  <c r="AY98" i="22" s="1"/>
  <c r="AV99" i="22"/>
  <c r="AW99" i="22" s="1"/>
  <c r="AX99" i="22" s="1"/>
  <c r="AY99" i="22" s="1"/>
  <c r="AV100" i="22"/>
  <c r="AW100" i="22" s="1"/>
  <c r="AX100" i="22" s="1"/>
  <c r="AY100" i="22" s="1"/>
  <c r="AV101" i="22"/>
  <c r="AW101" i="22" s="1"/>
  <c r="AX101" i="22" s="1"/>
  <c r="AY101" i="22" s="1"/>
  <c r="AV102" i="22"/>
  <c r="AW102" i="22" s="1"/>
  <c r="AX102" i="22" s="1"/>
  <c r="AY102" i="22" s="1"/>
  <c r="AV103" i="22"/>
  <c r="AW103" i="22" s="1"/>
  <c r="AX103" i="22" s="1"/>
  <c r="AY103" i="22" s="1"/>
  <c r="AV104" i="22"/>
  <c r="AW104" i="22" s="1"/>
  <c r="AX104" i="22" s="1"/>
  <c r="AY104" i="22" s="1"/>
  <c r="AV105" i="22"/>
  <c r="AW105" i="22" s="1"/>
  <c r="AX105" i="22" s="1"/>
  <c r="AY105" i="22" s="1"/>
  <c r="AV106" i="22"/>
  <c r="AW106" i="22" s="1"/>
  <c r="AX106" i="22" s="1"/>
  <c r="AY106" i="22" s="1"/>
  <c r="AV107" i="22"/>
  <c r="AW107" i="22" s="1"/>
  <c r="AX107" i="22" s="1"/>
  <c r="AY107" i="22" s="1"/>
  <c r="AV108" i="22"/>
  <c r="AW108" i="22" s="1"/>
  <c r="AX108" i="22" s="1"/>
  <c r="AY108" i="22" s="1"/>
  <c r="AV109" i="22"/>
  <c r="AW109" i="22" s="1"/>
  <c r="AX109" i="22" s="1"/>
  <c r="AY109" i="22" s="1"/>
  <c r="AV110" i="22"/>
  <c r="AW110" i="22" s="1"/>
  <c r="AX110" i="22" s="1"/>
  <c r="AY110" i="22" s="1"/>
  <c r="AQ7" i="22"/>
  <c r="AQ8" i="22"/>
  <c r="AR8" i="22" s="1"/>
  <c r="AS8" i="22" s="1"/>
  <c r="AT8" i="22" s="1"/>
  <c r="AQ9" i="22"/>
  <c r="AR9" i="22" s="1"/>
  <c r="AS9" i="22" s="1"/>
  <c r="AT9" i="22" s="1"/>
  <c r="AQ10" i="22"/>
  <c r="AR10" i="22" s="1"/>
  <c r="AS10" i="22" s="1"/>
  <c r="AT10" i="22" s="1"/>
  <c r="AQ11" i="22"/>
  <c r="AR11" i="22" s="1"/>
  <c r="AS11" i="22" s="1"/>
  <c r="AT11" i="22" s="1"/>
  <c r="AQ12" i="22"/>
  <c r="AR12" i="22" s="1"/>
  <c r="AS12" i="22" s="1"/>
  <c r="AT12" i="22" s="1"/>
  <c r="AQ13" i="22"/>
  <c r="AR13" i="22" s="1"/>
  <c r="AS13" i="22" s="1"/>
  <c r="AT13" i="22" s="1"/>
  <c r="AQ14" i="22"/>
  <c r="AR14" i="22" s="1"/>
  <c r="AS14" i="22" s="1"/>
  <c r="AT14" i="22" s="1"/>
  <c r="AQ15" i="22"/>
  <c r="AR15" i="22" s="1"/>
  <c r="AS15" i="22" s="1"/>
  <c r="AT15" i="22" s="1"/>
  <c r="AQ16" i="22"/>
  <c r="AR16" i="22" s="1"/>
  <c r="AS16" i="22" s="1"/>
  <c r="AT16" i="22" s="1"/>
  <c r="AQ17" i="22"/>
  <c r="AR17" i="22" s="1"/>
  <c r="AS17" i="22" s="1"/>
  <c r="AT17" i="22" s="1"/>
  <c r="AQ18" i="22"/>
  <c r="AR18" i="22" s="1"/>
  <c r="AS18" i="22" s="1"/>
  <c r="AT18" i="22" s="1"/>
  <c r="AQ19" i="22"/>
  <c r="AR19" i="22" s="1"/>
  <c r="AS19" i="22" s="1"/>
  <c r="AT19" i="22" s="1"/>
  <c r="AQ20" i="22"/>
  <c r="AR20" i="22" s="1"/>
  <c r="AS20" i="22" s="1"/>
  <c r="AT20" i="22" s="1"/>
  <c r="AQ21" i="22"/>
  <c r="AR21" i="22" s="1"/>
  <c r="AS21" i="22" s="1"/>
  <c r="AT21" i="22" s="1"/>
  <c r="AQ22" i="22"/>
  <c r="AR22" i="22" s="1"/>
  <c r="AS22" i="22" s="1"/>
  <c r="AT22" i="22" s="1"/>
  <c r="AQ23" i="22"/>
  <c r="AR23" i="22" s="1"/>
  <c r="AS23" i="22" s="1"/>
  <c r="AT23" i="22" s="1"/>
  <c r="AQ24" i="22"/>
  <c r="AR24" i="22" s="1"/>
  <c r="AS24" i="22" s="1"/>
  <c r="AT24" i="22" s="1"/>
  <c r="AQ25" i="22"/>
  <c r="AR25" i="22" s="1"/>
  <c r="AS25" i="22" s="1"/>
  <c r="AT25" i="22" s="1"/>
  <c r="AQ26" i="22"/>
  <c r="AR26" i="22" s="1"/>
  <c r="AS26" i="22" s="1"/>
  <c r="AT26" i="22" s="1"/>
  <c r="AQ27" i="22"/>
  <c r="AR27" i="22" s="1"/>
  <c r="AS27" i="22" s="1"/>
  <c r="AT27" i="22" s="1"/>
  <c r="AQ28" i="22"/>
  <c r="AR28" i="22" s="1"/>
  <c r="AS28" i="22" s="1"/>
  <c r="AT28" i="22" s="1"/>
  <c r="AQ29" i="22"/>
  <c r="AR29" i="22" s="1"/>
  <c r="AS29" i="22" s="1"/>
  <c r="AT29" i="22" s="1"/>
  <c r="AQ30" i="22"/>
  <c r="AR30" i="22" s="1"/>
  <c r="AS30" i="22" s="1"/>
  <c r="AT30" i="22" s="1"/>
  <c r="AQ32" i="22"/>
  <c r="AR32" i="22" s="1"/>
  <c r="AS32" i="22" s="1"/>
  <c r="AT32" i="22" s="1"/>
  <c r="AQ33" i="22"/>
  <c r="AR33" i="22" s="1"/>
  <c r="AS33" i="22" s="1"/>
  <c r="AT33" i="22" s="1"/>
  <c r="AQ34" i="22"/>
  <c r="AR34" i="22" s="1"/>
  <c r="AS34" i="22" s="1"/>
  <c r="AT34" i="22" s="1"/>
  <c r="AQ35" i="22"/>
  <c r="AR35" i="22" s="1"/>
  <c r="AS35" i="22" s="1"/>
  <c r="AT35" i="22" s="1"/>
  <c r="AQ36" i="22"/>
  <c r="AR36" i="22" s="1"/>
  <c r="AS36" i="22" s="1"/>
  <c r="AT36" i="22" s="1"/>
  <c r="AQ37" i="22"/>
  <c r="AR37" i="22" s="1"/>
  <c r="AS37" i="22" s="1"/>
  <c r="AT37" i="22" s="1"/>
  <c r="AQ38" i="22"/>
  <c r="AR38" i="22" s="1"/>
  <c r="AS38" i="22" s="1"/>
  <c r="AT38" i="22" s="1"/>
  <c r="AQ39" i="22"/>
  <c r="AR39" i="22" s="1"/>
  <c r="AS39" i="22" s="1"/>
  <c r="AT39" i="22" s="1"/>
  <c r="AQ40" i="22"/>
  <c r="AR40" i="22" s="1"/>
  <c r="AS40" i="22" s="1"/>
  <c r="AT40" i="22" s="1"/>
  <c r="AQ41" i="22"/>
  <c r="AR41" i="22" s="1"/>
  <c r="AS41" i="22" s="1"/>
  <c r="AT41" i="22" s="1"/>
  <c r="AQ42" i="22"/>
  <c r="AR42" i="22" s="1"/>
  <c r="AS42" i="22" s="1"/>
  <c r="AT42" i="22" s="1"/>
  <c r="AQ43" i="22"/>
  <c r="AR43" i="22" s="1"/>
  <c r="AS43" i="22" s="1"/>
  <c r="AT43" i="22" s="1"/>
  <c r="AQ45" i="22"/>
  <c r="AR45" i="22" s="1"/>
  <c r="AS45" i="22" s="1"/>
  <c r="AT45" i="22" s="1"/>
  <c r="AQ46" i="22"/>
  <c r="AR46" i="22" s="1"/>
  <c r="AS46" i="22" s="1"/>
  <c r="AT46" i="22" s="1"/>
  <c r="AQ47" i="22"/>
  <c r="AR47" i="22" s="1"/>
  <c r="AS47" i="22" s="1"/>
  <c r="AT47" i="22" s="1"/>
  <c r="AQ48" i="22"/>
  <c r="AR48" i="22" s="1"/>
  <c r="AS48" i="22" s="1"/>
  <c r="AT48" i="22" s="1"/>
  <c r="AQ49" i="22"/>
  <c r="AR49" i="22" s="1"/>
  <c r="AS49" i="22" s="1"/>
  <c r="AT49" i="22" s="1"/>
  <c r="AQ51" i="22"/>
  <c r="AR51" i="22" s="1"/>
  <c r="AS51" i="22" s="1"/>
  <c r="AT51" i="22" s="1"/>
  <c r="AQ53" i="22"/>
  <c r="AR53" i="22" s="1"/>
  <c r="AS53" i="22" s="1"/>
  <c r="AT53" i="22" s="1"/>
  <c r="AQ54" i="22"/>
  <c r="AR54" i="22" s="1"/>
  <c r="AS54" i="22" s="1"/>
  <c r="AT54" i="22" s="1"/>
  <c r="AQ59" i="22"/>
  <c r="AR59" i="22" s="1"/>
  <c r="AS59" i="22" s="1"/>
  <c r="AT59" i="22" s="1"/>
  <c r="AQ60" i="22"/>
  <c r="AR60" i="22" s="1"/>
  <c r="AS60" i="22" s="1"/>
  <c r="AT60" i="22" s="1"/>
  <c r="AQ61" i="22"/>
  <c r="AR61" i="22" s="1"/>
  <c r="AS61" i="22" s="1"/>
  <c r="AT61" i="22" s="1"/>
  <c r="AQ62" i="22"/>
  <c r="AR62" i="22" s="1"/>
  <c r="AS62" i="22" s="1"/>
  <c r="AT62" i="22" s="1"/>
  <c r="AQ63" i="22"/>
  <c r="AR63" i="22" s="1"/>
  <c r="AS63" i="22" s="1"/>
  <c r="AT63" i="22" s="1"/>
  <c r="AQ64" i="22"/>
  <c r="AR64" i="22" s="1"/>
  <c r="AS64" i="22" s="1"/>
  <c r="AT64" i="22" s="1"/>
  <c r="AQ65" i="22"/>
  <c r="AR65" i="22" s="1"/>
  <c r="AS65" i="22" s="1"/>
  <c r="AT65" i="22" s="1"/>
  <c r="AQ66" i="22"/>
  <c r="AR66" i="22" s="1"/>
  <c r="AS66" i="22" s="1"/>
  <c r="AT66" i="22" s="1"/>
  <c r="AQ67" i="22"/>
  <c r="AR67" i="22" s="1"/>
  <c r="AS67" i="22" s="1"/>
  <c r="AT67" i="22" s="1"/>
  <c r="AQ68" i="22"/>
  <c r="AR68" i="22" s="1"/>
  <c r="AS68" i="22" s="1"/>
  <c r="AT68" i="22" s="1"/>
  <c r="AQ69" i="22"/>
  <c r="AR69" i="22" s="1"/>
  <c r="AS69" i="22" s="1"/>
  <c r="AT69" i="22" s="1"/>
  <c r="AQ70" i="22"/>
  <c r="AR70" i="22" s="1"/>
  <c r="AS70" i="22" s="1"/>
  <c r="AT70" i="22" s="1"/>
  <c r="AQ71" i="22"/>
  <c r="AR71" i="22" s="1"/>
  <c r="AS71" i="22" s="1"/>
  <c r="AT71" i="22" s="1"/>
  <c r="AQ72" i="22"/>
  <c r="AR72" i="22" s="1"/>
  <c r="AS72" i="22" s="1"/>
  <c r="AT72" i="22" s="1"/>
  <c r="AQ73" i="22"/>
  <c r="AR73" i="22" s="1"/>
  <c r="AS73" i="22" s="1"/>
  <c r="AT73" i="22" s="1"/>
  <c r="AQ74" i="22"/>
  <c r="AR74" i="22" s="1"/>
  <c r="AS74" i="22" s="1"/>
  <c r="AT74" i="22" s="1"/>
  <c r="AQ75" i="22"/>
  <c r="AR75" i="22" s="1"/>
  <c r="AS75" i="22" s="1"/>
  <c r="AT75" i="22" s="1"/>
  <c r="AQ76" i="22"/>
  <c r="AR76" i="22" s="1"/>
  <c r="AS76" i="22" s="1"/>
  <c r="AT76" i="22" s="1"/>
  <c r="AQ77" i="22"/>
  <c r="AR77" i="22" s="1"/>
  <c r="AS77" i="22" s="1"/>
  <c r="AT77" i="22" s="1"/>
  <c r="AQ78" i="22"/>
  <c r="AR78" i="22" s="1"/>
  <c r="AS78" i="22" s="1"/>
  <c r="AT78" i="22" s="1"/>
  <c r="AQ79" i="22"/>
  <c r="AR79" i="22" s="1"/>
  <c r="AS79" i="22" s="1"/>
  <c r="AT79" i="22" s="1"/>
  <c r="AQ80" i="22"/>
  <c r="AR80" i="22" s="1"/>
  <c r="AS80" i="22" s="1"/>
  <c r="AT80" i="22" s="1"/>
  <c r="AQ81" i="22"/>
  <c r="AR81" i="22" s="1"/>
  <c r="AS81" i="22" s="1"/>
  <c r="AT81" i="22" s="1"/>
  <c r="AQ82" i="22"/>
  <c r="AR82" i="22" s="1"/>
  <c r="AS82" i="22" s="1"/>
  <c r="AT82" i="22" s="1"/>
  <c r="AQ83" i="22"/>
  <c r="AR83" i="22" s="1"/>
  <c r="AS83" i="22" s="1"/>
  <c r="AT83" i="22" s="1"/>
  <c r="AQ84" i="22"/>
  <c r="AR84" i="22" s="1"/>
  <c r="AS84" i="22" s="1"/>
  <c r="AT84" i="22" s="1"/>
  <c r="AQ85" i="22"/>
  <c r="AR85" i="22" s="1"/>
  <c r="AS85" i="22" s="1"/>
  <c r="AT85" i="22" s="1"/>
  <c r="AQ86" i="22"/>
  <c r="AR86" i="22" s="1"/>
  <c r="AS86" i="22" s="1"/>
  <c r="AT86" i="22" s="1"/>
  <c r="AQ87" i="22"/>
  <c r="AR87" i="22" s="1"/>
  <c r="AS87" i="22" s="1"/>
  <c r="AT87" i="22" s="1"/>
  <c r="AQ88" i="22"/>
  <c r="AR88" i="22" s="1"/>
  <c r="AS88" i="22" s="1"/>
  <c r="AT88" i="22" s="1"/>
  <c r="AQ89" i="22"/>
  <c r="AR89" i="22" s="1"/>
  <c r="AS89" i="22" s="1"/>
  <c r="AT89" i="22" s="1"/>
  <c r="AQ90" i="22"/>
  <c r="AR90" i="22" s="1"/>
  <c r="AS90" i="22" s="1"/>
  <c r="AT90" i="22" s="1"/>
  <c r="AQ91" i="22"/>
  <c r="AR91" i="22" s="1"/>
  <c r="AS91" i="22" s="1"/>
  <c r="AT91" i="22" s="1"/>
  <c r="AQ92" i="22"/>
  <c r="AR92" i="22" s="1"/>
  <c r="AS92" i="22" s="1"/>
  <c r="AT92" i="22" s="1"/>
  <c r="AQ93" i="22"/>
  <c r="AR93" i="22" s="1"/>
  <c r="AS93" i="22" s="1"/>
  <c r="AT93" i="22" s="1"/>
  <c r="AQ94" i="22"/>
  <c r="AR94" i="22" s="1"/>
  <c r="AS94" i="22" s="1"/>
  <c r="AT94" i="22" s="1"/>
  <c r="AQ95" i="22"/>
  <c r="AR95" i="22" s="1"/>
  <c r="AS95" i="22" s="1"/>
  <c r="AT95" i="22" s="1"/>
  <c r="AQ96" i="22"/>
  <c r="AR96" i="22" s="1"/>
  <c r="AS96" i="22" s="1"/>
  <c r="AT96" i="22" s="1"/>
  <c r="AQ97" i="22"/>
  <c r="AR97" i="22" s="1"/>
  <c r="AS97" i="22" s="1"/>
  <c r="AT97" i="22" s="1"/>
  <c r="AQ98" i="22"/>
  <c r="AR98" i="22" s="1"/>
  <c r="AS98" i="22" s="1"/>
  <c r="AT98" i="22" s="1"/>
  <c r="AQ99" i="22"/>
  <c r="AR99" i="22" s="1"/>
  <c r="AS99" i="22" s="1"/>
  <c r="AT99" i="22" s="1"/>
  <c r="AQ100" i="22"/>
  <c r="AR100" i="22" s="1"/>
  <c r="AS100" i="22" s="1"/>
  <c r="AT100" i="22" s="1"/>
  <c r="AQ101" i="22"/>
  <c r="AR101" i="22" s="1"/>
  <c r="AS101" i="22" s="1"/>
  <c r="AT101" i="22" s="1"/>
  <c r="AQ102" i="22"/>
  <c r="AR102" i="22" s="1"/>
  <c r="AS102" i="22" s="1"/>
  <c r="AT102" i="22" s="1"/>
  <c r="AQ103" i="22"/>
  <c r="AR103" i="22" s="1"/>
  <c r="AS103" i="22" s="1"/>
  <c r="AT103" i="22" s="1"/>
  <c r="AQ104" i="22"/>
  <c r="AR104" i="22" s="1"/>
  <c r="AS104" i="22" s="1"/>
  <c r="AT104" i="22" s="1"/>
  <c r="AQ105" i="22"/>
  <c r="AR105" i="22" s="1"/>
  <c r="AS105" i="22" s="1"/>
  <c r="AT105" i="22" s="1"/>
  <c r="AQ106" i="22"/>
  <c r="AR106" i="22" s="1"/>
  <c r="AS106" i="22" s="1"/>
  <c r="AT106" i="22" s="1"/>
  <c r="AQ107" i="22"/>
  <c r="AR107" i="22" s="1"/>
  <c r="AS107" i="22" s="1"/>
  <c r="AT107" i="22" s="1"/>
  <c r="AQ108" i="22"/>
  <c r="AR108" i="22" s="1"/>
  <c r="AS108" i="22" s="1"/>
  <c r="AT108" i="22" s="1"/>
  <c r="AQ109" i="22"/>
  <c r="AR109" i="22" s="1"/>
  <c r="AS109" i="22" s="1"/>
  <c r="AT109" i="22" s="1"/>
  <c r="AQ110" i="22"/>
  <c r="AR110" i="22" s="1"/>
  <c r="AS110" i="22" s="1"/>
  <c r="AT110" i="22" s="1"/>
  <c r="AJ11" i="22"/>
  <c r="AJ12" i="22" l="1"/>
  <c r="AJ13" i="22" s="1"/>
  <c r="N21" i="22" s="1"/>
  <c r="AR7" i="22"/>
  <c r="AS7" i="22" s="1"/>
  <c r="AT7" i="22" s="1"/>
  <c r="AJ14" i="22" l="1"/>
  <c r="AG10" i="22"/>
  <c r="AJ15" i="22" l="1"/>
  <c r="AJ16" i="22" s="1"/>
  <c r="AJ17" i="22" s="1"/>
  <c r="AJ18" i="22" s="1"/>
  <c r="AL10" i="22"/>
  <c r="AD21" i="22"/>
  <c r="AG11" i="22"/>
  <c r="AD24" i="22" s="1"/>
  <c r="AG9" i="22"/>
  <c r="AD22" i="22" s="1"/>
  <c r="AF22" i="22"/>
  <c r="AG32" i="22" s="1"/>
  <c r="AG30" i="22"/>
  <c r="AO9" i="22" l="1"/>
  <c r="AO10" i="22" s="1" a="1"/>
  <c r="AO10" i="22" s="1"/>
  <c r="AG22" i="22"/>
  <c r="AG21" i="22"/>
  <c r="AD23" i="22" s="1"/>
  <c r="K19" i="22" l="1"/>
  <c r="K27" i="22" s="1"/>
  <c r="K20" i="22"/>
  <c r="AJ19" i="22"/>
  <c r="AJ42" i="22" s="1"/>
  <c r="AL11" i="22"/>
  <c r="AL12" i="22" s="1"/>
  <c r="K17" i="22"/>
  <c r="AD25" i="22"/>
  <c r="E35" i="22"/>
  <c r="E36" i="22"/>
  <c r="I36" i="22" s="1"/>
  <c r="E37" i="22"/>
  <c r="I37" i="22" s="1"/>
  <c r="E38" i="22"/>
  <c r="AG43" i="22" l="1"/>
  <c r="AG45" i="22" s="1"/>
  <c r="AD16" i="22"/>
  <c r="AG53" i="22"/>
  <c r="AG54" i="22"/>
  <c r="AG59" i="22"/>
  <c r="AG60" i="22"/>
  <c r="AG51" i="22"/>
  <c r="AG66" i="22"/>
  <c r="AG76" i="22"/>
  <c r="K22" i="22"/>
  <c r="K18" i="22"/>
  <c r="AD18" i="22" s="1"/>
  <c r="AD19" i="22" s="1"/>
  <c r="AD14" i="22"/>
  <c r="AD15" i="22"/>
  <c r="AE15" i="22" s="1"/>
  <c r="AD13" i="22"/>
  <c r="AE13" i="22" s="1"/>
  <c r="AD12" i="22"/>
  <c r="AE12" i="22" s="1"/>
  <c r="AJ21" i="22"/>
  <c r="AJ22" i="22" s="1"/>
  <c r="AJ23" i="22" s="1"/>
  <c r="AJ37" i="22"/>
  <c r="AJ38" i="22" s="1"/>
  <c r="AJ20" i="22"/>
  <c r="K43" i="22" s="1"/>
  <c r="AJ26" i="22"/>
  <c r="AJ27" i="22" s="1"/>
  <c r="AJ28" i="22" s="1"/>
  <c r="AJ32" i="22"/>
  <c r="AJ33" i="22" s="1"/>
  <c r="AJ34" i="22" s="1"/>
  <c r="I40" i="22"/>
  <c r="AL13" i="22"/>
  <c r="AL14" i="22" s="1"/>
  <c r="AJ43" i="22"/>
  <c r="AG42" i="22" l="1"/>
  <c r="AG47" i="22" s="1"/>
  <c r="AG63" i="22" s="1"/>
  <c r="AG73" i="22" s="1"/>
  <c r="AG67" i="22"/>
  <c r="AG77" i="22" s="1"/>
  <c r="AG70" i="22"/>
  <c r="AG68" i="22"/>
  <c r="AG69" i="22"/>
  <c r="AG48" i="22"/>
  <c r="AG64" i="22" s="1"/>
  <c r="AG74" i="22" s="1"/>
  <c r="AG78" i="22"/>
  <c r="AG80" i="22" s="1"/>
  <c r="E70" i="22" s="1"/>
  <c r="AD10" i="22"/>
  <c r="AE10" i="22" s="1"/>
  <c r="AJ24" i="22"/>
  <c r="I43" i="22"/>
  <c r="AJ35" i="22"/>
  <c r="AG14" i="22" s="1"/>
  <c r="K24" i="22" s="1"/>
  <c r="AJ39" i="22"/>
  <c r="AJ40" i="22" s="1"/>
  <c r="AJ29" i="22"/>
  <c r="AG15" i="22" s="1"/>
  <c r="AJ45" i="22"/>
  <c r="AJ46" i="22" s="1"/>
  <c r="AG61" i="22" l="1"/>
  <c r="AG71" i="22" s="1"/>
  <c r="AG62" i="22"/>
  <c r="AG72" i="22" s="1"/>
  <c r="AG13" i="22"/>
  <c r="AG17" i="22" s="1"/>
  <c r="AG79" i="22"/>
  <c r="AG81" i="22" s="1"/>
  <c r="E71" i="22" s="1"/>
  <c r="K23" i="22"/>
  <c r="AG18" i="22" l="1"/>
  <c r="G32" i="22"/>
  <c r="H67" i="22" s="1"/>
  <c r="AG16" i="22"/>
  <c r="H68" i="22" l="1"/>
  <c r="I32" i="22"/>
  <c r="K32" i="22"/>
  <c r="I39" i="22" s="1"/>
  <c r="AG19" i="22"/>
  <c r="G39" i="22"/>
  <c r="G38" i="22"/>
  <c r="G37" i="22"/>
  <c r="K37" i="22" s="1"/>
  <c r="G36" i="22"/>
  <c r="K36" i="22" s="1"/>
  <c r="G35" i="22"/>
  <c r="H72" i="22" l="1"/>
  <c r="H69" i="22"/>
  <c r="H70" i="22"/>
  <c r="H71" i="22"/>
  <c r="C69" i="22"/>
  <c r="C68" i="22"/>
  <c r="K38" i="22"/>
  <c r="C70" i="22" s="1"/>
  <c r="L70" i="22" s="1"/>
  <c r="K39" i="22"/>
  <c r="C71" i="22" s="1"/>
  <c r="L71" i="22" s="1"/>
  <c r="K34" i="22"/>
  <c r="C66" i="22" s="1"/>
  <c r="L66" i="22" s="1"/>
  <c r="I34" i="22"/>
  <c r="I38" i="22"/>
  <c r="I35" i="22"/>
  <c r="K35" i="22"/>
  <c r="C67" i="22" s="1"/>
  <c r="K40" i="22"/>
  <c r="L68" i="22" l="1"/>
  <c r="L69" i="22"/>
  <c r="L67" i="22"/>
  <c r="K49" i="22"/>
  <c r="N39" i="22"/>
  <c r="E80" i="22" l="1"/>
  <c r="F80" i="22" s="1"/>
  <c r="J80" i="22" s="1"/>
  <c r="E77" i="22"/>
  <c r="G77" i="22" s="1"/>
  <c r="H77" i="22" s="1"/>
  <c r="L77" i="22" s="1"/>
  <c r="B6" i="22"/>
  <c r="N37" i="22"/>
  <c r="N35" i="22"/>
  <c r="H80" i="22" l="1"/>
  <c r="L80" i="22" s="1"/>
  <c r="E76" i="22"/>
  <c r="F76" i="22" s="1"/>
  <c r="J76" i="22" s="1"/>
  <c r="J77" i="22"/>
  <c r="AE16" i="22"/>
  <c r="AE14" i="22"/>
  <c r="H76" i="22" l="1"/>
  <c r="L76" i="22" s="1"/>
  <c r="AG24" i="22"/>
  <c r="K26" i="22" s="1"/>
  <c r="AG25" i="22"/>
  <c r="K25" i="22" s="1"/>
  <c r="K42" i="22" l="1"/>
  <c r="K48" i="22" s="1"/>
  <c r="G41" i="22"/>
  <c r="I42" i="22" l="1"/>
  <c r="I48" i="22" s="1"/>
  <c r="E48" i="22" s="1"/>
  <c r="E41" i="22"/>
  <c r="I41" i="22" s="1"/>
  <c r="K41" i="22"/>
  <c r="C72" i="22" s="1"/>
  <c r="L72" i="22" s="1"/>
  <c r="G48" i="22"/>
  <c r="I49" i="22"/>
  <c r="E49" i="22" s="1"/>
  <c r="G49" i="22"/>
  <c r="E78" i="22" l="1"/>
  <c r="E79" i="22"/>
  <c r="K47" i="22"/>
  <c r="G47" i="22" s="1"/>
  <c r="K46" i="22"/>
  <c r="I46" i="22"/>
  <c r="O15" i="22" s="1"/>
  <c r="E75" i="22" l="1"/>
  <c r="F75" i="22" s="1"/>
  <c r="F79" i="22"/>
  <c r="E74" i="22"/>
  <c r="F78" i="22"/>
  <c r="O56" i="22"/>
  <c r="E46" i="22"/>
  <c r="O14" i="22" s="1"/>
  <c r="G46" i="22"/>
  <c r="O16" i="22" s="1"/>
  <c r="O17" i="22"/>
  <c r="I47" i="22"/>
  <c r="E47" i="22" s="1"/>
  <c r="J78" i="22" l="1"/>
  <c r="H78" i="22"/>
  <c r="L78" i="22" s="1"/>
  <c r="O53" i="22"/>
  <c r="F74" i="22"/>
  <c r="J79" i="22"/>
  <c r="H79" i="22"/>
  <c r="L79" i="22" s="1"/>
  <c r="H75" i="22"/>
  <c r="L75" i="22" s="1"/>
  <c r="J75" i="22"/>
  <c r="O57" i="22"/>
  <c r="H74" i="22" l="1"/>
  <c r="L74" i="22" s="1"/>
  <c r="J74" i="22"/>
  <c r="O58" i="22"/>
  <c r="O54" i="22"/>
  <c r="O55" i="22" l="1"/>
</calcChain>
</file>

<file path=xl/sharedStrings.xml><?xml version="1.0" encoding="utf-8"?>
<sst xmlns="http://schemas.openxmlformats.org/spreadsheetml/2006/main" count="887" uniqueCount="507">
  <si>
    <t>Specifications</t>
  </si>
  <si>
    <t>INL</t>
  </si>
  <si>
    <t>INL Drift</t>
  </si>
  <si>
    <t>Worksheets</t>
  </si>
  <si>
    <t>Description</t>
  </si>
  <si>
    <t>Information about this tool</t>
  </si>
  <si>
    <t>Help</t>
  </si>
  <si>
    <t>Documentation and supporting links</t>
  </si>
  <si>
    <t>Table of Contents</t>
  </si>
  <si>
    <t>#</t>
  </si>
  <si>
    <t>Link:</t>
  </si>
  <si>
    <t>AMC1302:</t>
  </si>
  <si>
    <t>Document Description</t>
  </si>
  <si>
    <t>AMC1300</t>
  </si>
  <si>
    <t>AMC1301</t>
  </si>
  <si>
    <t>AMC1302</t>
  </si>
  <si>
    <t>AMC1301-Q1</t>
  </si>
  <si>
    <t>Part</t>
  </si>
  <si>
    <t>User Inputs</t>
  </si>
  <si>
    <t>Input Resistor (R4)</t>
  </si>
  <si>
    <t>Error Results</t>
  </si>
  <si>
    <t>Gain Error Max</t>
  </si>
  <si>
    <t>Gain Error Typ</t>
  </si>
  <si>
    <t>Typical Spec</t>
  </si>
  <si>
    <t>Maximum Spec</t>
  </si>
  <si>
    <t>Gain Drift Typ</t>
  </si>
  <si>
    <t>Gain Drift Max</t>
  </si>
  <si>
    <t>Offset Error Typ</t>
  </si>
  <si>
    <t>Offset Drift Max</t>
  </si>
  <si>
    <t>INL Typ</t>
  </si>
  <si>
    <t>Offset Error Max</t>
  </si>
  <si>
    <t>Offset Drift Typ</t>
  </si>
  <si>
    <t>INL Max</t>
  </si>
  <si>
    <t>INL Drift Typ</t>
  </si>
  <si>
    <t>INL Drift Max</t>
  </si>
  <si>
    <t>Single-Ended Input Resistance</t>
  </si>
  <si>
    <t>Bias Current</t>
  </si>
  <si>
    <t>±Input Voltage Range</t>
  </si>
  <si>
    <t>Power Dissipation Across Voltage Divider</t>
  </si>
  <si>
    <r>
      <rPr>
        <b/>
        <sz val="11"/>
        <color theme="1"/>
        <rFont val="Calibri"/>
        <family val="2"/>
      </rPr>
      <t>±</t>
    </r>
    <r>
      <rPr>
        <b/>
        <sz val="11"/>
        <color theme="1"/>
        <rFont val="Calibri"/>
        <family val="2"/>
        <scheme val="minor"/>
      </rPr>
      <t xml:space="preserve">Input Voltage Range by Datasheet Specification = </t>
    </r>
  </si>
  <si>
    <t>R2 Resistance</t>
  </si>
  <si>
    <t>R1 Resistance</t>
  </si>
  <si>
    <t>Legend</t>
  </si>
  <si>
    <t>Input =</t>
  </si>
  <si>
    <t>AMC1311</t>
  </si>
  <si>
    <t>AMC1311-Q1</t>
  </si>
  <si>
    <t>AMC3301</t>
  </si>
  <si>
    <t>Device Comparison</t>
  </si>
  <si>
    <t>AMC1301-Q1:</t>
  </si>
  <si>
    <t>AMC3301:</t>
  </si>
  <si>
    <t>Input Type</t>
  </si>
  <si>
    <t>Differential</t>
  </si>
  <si>
    <t>Single-Ended</t>
  </si>
  <si>
    <t>Select Configuration</t>
  </si>
  <si>
    <t>Select Device</t>
  </si>
  <si>
    <t>Configuration</t>
  </si>
  <si>
    <t>Differential without R3'</t>
  </si>
  <si>
    <t>Differential with R3'</t>
  </si>
  <si>
    <t>Image</t>
  </si>
  <si>
    <t>[Select Configuration]</t>
  </si>
  <si>
    <t>[Select Device]</t>
  </si>
  <si>
    <t>AMC1300-Q1</t>
  </si>
  <si>
    <t>Row Num</t>
  </si>
  <si>
    <t>Row Sel D</t>
  </si>
  <si>
    <t>Row Sel SE</t>
  </si>
  <si>
    <t>Sel D</t>
  </si>
  <si>
    <t>Sel SE</t>
  </si>
  <si>
    <t>Device_List_D</t>
  </si>
  <si>
    <t>Device_List_SE</t>
  </si>
  <si>
    <t>Device_List_N</t>
  </si>
  <si>
    <t>Sel N</t>
  </si>
  <si>
    <t>Row Sel N</t>
  </si>
  <si>
    <t>AMC1301S</t>
  </si>
  <si>
    <t>AMC1300B</t>
  </si>
  <si>
    <t>AMC1311B</t>
  </si>
  <si>
    <t>AMC1311B-Q1</t>
  </si>
  <si>
    <t>ISO224B</t>
  </si>
  <si>
    <t>ISO224A</t>
  </si>
  <si>
    <t>AMC1300/B:</t>
  </si>
  <si>
    <t>AMC1301/S:</t>
  </si>
  <si>
    <t>AMC1311/B:</t>
  </si>
  <si>
    <t>AMC1311/B-Q1:</t>
  </si>
  <si>
    <t>ISO224A/B:</t>
  </si>
  <si>
    <r>
      <t xml:space="preserve">Please select a configuration in the </t>
    </r>
    <r>
      <rPr>
        <b/>
        <sz val="36"/>
        <color theme="1"/>
        <rFont val="Calibri"/>
        <family val="2"/>
        <scheme val="minor"/>
      </rPr>
      <t>User Inputs</t>
    </r>
    <r>
      <rPr>
        <sz val="36"/>
        <color theme="1"/>
        <rFont val="Calibri"/>
        <family val="2"/>
        <scheme val="minor"/>
      </rPr>
      <t xml:space="preserve"> before proceeding.</t>
    </r>
  </si>
  <si>
    <t>Temp Min</t>
  </si>
  <si>
    <t>Temp Max</t>
  </si>
  <si>
    <t>kideal</t>
  </si>
  <si>
    <t>Peak High Voltage</t>
  </si>
  <si>
    <t>Rule Check &gt;0</t>
  </si>
  <si>
    <t>Rin_min</t>
  </si>
  <si>
    <t>Rin_max</t>
  </si>
  <si>
    <t>Rin_nom</t>
  </si>
  <si>
    <t>kreal_max</t>
  </si>
  <si>
    <t>kreal_min</t>
  </si>
  <si>
    <t>Vin_FS_nominal</t>
  </si>
  <si>
    <t>GE_nom</t>
  </si>
  <si>
    <t>Vin_FS_min</t>
  </si>
  <si>
    <t>Vin_FS_max</t>
  </si>
  <si>
    <t>GE_maxRin</t>
  </si>
  <si>
    <t>GE_minRin</t>
  </si>
  <si>
    <t xml:space="preserve">Gain Error Rin Variation </t>
  </si>
  <si>
    <t>Gain Error Rin Variation Drift</t>
  </si>
  <si>
    <t>kral_min+drift</t>
  </si>
  <si>
    <t>Vin_FS_n_Drift</t>
  </si>
  <si>
    <t>Minimum Differential Voltage over Temperature</t>
  </si>
  <si>
    <t>kreal_max+drift</t>
  </si>
  <si>
    <t>Vin_FS_m_Drift</t>
  </si>
  <si>
    <t>Maximum Differential Voltage over Temperature</t>
  </si>
  <si>
    <t>Differential Input Resistance</t>
  </si>
  <si>
    <t>AMC1302-Q1</t>
  </si>
  <si>
    <t>Gain</t>
  </si>
  <si>
    <t xml:space="preserve">All error terms are output referred. </t>
  </si>
  <si>
    <t>Comments</t>
  </si>
  <si>
    <t>Rdiv Current</t>
  </si>
  <si>
    <t>AMC Input Current</t>
  </si>
  <si>
    <t>Applied Full-Scale Voltage, R3</t>
  </si>
  <si>
    <t>N/A</t>
  </si>
  <si>
    <t>Offset error &amp; Offset drift multiplied by non-ideal gain</t>
  </si>
  <si>
    <t>Scaled</t>
  </si>
  <si>
    <t>R</t>
  </si>
  <si>
    <t>parallel combo</t>
  </si>
  <si>
    <t>voltage</t>
  </si>
  <si>
    <t>Rdiv SE current</t>
  </si>
  <si>
    <t>New FS input</t>
  </si>
  <si>
    <t>Ideal R3 Resistance</t>
  </si>
  <si>
    <t>Ideal R3' Resistance</t>
  </si>
  <si>
    <t>With R3'</t>
  </si>
  <si>
    <t>Kideal</t>
  </si>
  <si>
    <t>Output V</t>
  </si>
  <si>
    <t>R2</t>
  </si>
  <si>
    <t>R3</t>
  </si>
  <si>
    <t>R4</t>
  </si>
  <si>
    <t>R5</t>
  </si>
  <si>
    <t>R6</t>
  </si>
  <si>
    <t>R7</t>
  </si>
  <si>
    <t>R8</t>
  </si>
  <si>
    <t>R9</t>
  </si>
  <si>
    <t>R10</t>
  </si>
  <si>
    <t>CTRL+SHIFT+ENTER</t>
  </si>
  <si>
    <t>Find Resistor</t>
  </si>
  <si>
    <t>0</t>
  </si>
  <si>
    <t>Input bias current multiplied by sense resistor</t>
  </si>
  <si>
    <t>Min</t>
  </si>
  <si>
    <t>Max</t>
  </si>
  <si>
    <t>max + drift</t>
  </si>
  <si>
    <t>min + drift</t>
  </si>
  <si>
    <t>SE_min</t>
  </si>
  <si>
    <t>SE_nom</t>
  </si>
  <si>
    <t>SE_Max</t>
  </si>
  <si>
    <t>Min+drift</t>
  </si>
  <si>
    <t>Max + drift</t>
  </si>
  <si>
    <t>kreal_nom</t>
  </si>
  <si>
    <t>2. Reference the product datasheet, found at the URLs below, for information about the particular device.</t>
  </si>
  <si>
    <t>3. Go to the Table of Contents for tool descriptions and links to specific worksheets.</t>
  </si>
  <si>
    <t>4.Use the "Legend" on each worksheet for guidance. The required inputs and calculated results typically follow the convention below:</t>
  </si>
  <si>
    <t xml:space="preserve">Getting Started with this tool? </t>
  </si>
  <si>
    <t>1. Please see this document that helps explain voltage sensing with low input impedance devices and the importance of R3':</t>
  </si>
  <si>
    <t>RinDiff Drift over Temp</t>
  </si>
  <si>
    <t>RinDiff Tolerance</t>
  </si>
  <si>
    <t>RinSE Tolerance &amp; Drift</t>
  </si>
  <si>
    <t>Rfilt scaling (Vdrop,Rfilt)</t>
  </si>
  <si>
    <t>Attenuation Ratio</t>
  </si>
  <si>
    <t>Max Error</t>
  </si>
  <si>
    <t>Currents</t>
  </si>
  <si>
    <t>Input Voltage Calculations</t>
  </si>
  <si>
    <t>SE &amp; Wout R3'</t>
  </si>
  <si>
    <t>Value</t>
  </si>
  <si>
    <t>Result</t>
  </si>
  <si>
    <t>1. User enters:</t>
  </si>
  <si>
    <t>1. R3 value only gain</t>
  </si>
  <si>
    <t>1. Corresponding offset</t>
  </si>
  <si>
    <t>2. New desired Vin</t>
  </si>
  <si>
    <t>2. New R3 only gain</t>
  </si>
  <si>
    <t>2.New offset</t>
  </si>
  <si>
    <t>3. New desired Vin</t>
  </si>
  <si>
    <t>3. New R3 only gain</t>
  </si>
  <si>
    <t>4. Standard Resistor</t>
  </si>
  <si>
    <t>4. R3 Offset voltage</t>
  </si>
  <si>
    <t>No R3' 5 step estimation</t>
  </si>
  <si>
    <t>4. R3 || RinDiff</t>
  </si>
  <si>
    <t>4. Rdiv SE current</t>
  </si>
  <si>
    <t>4. Voltage only gain</t>
  </si>
  <si>
    <t>5. Vin; Vog+R3Offset</t>
  </si>
  <si>
    <t>Closest value</t>
  </si>
  <si>
    <t>R3 Calculation</t>
  </si>
  <si>
    <t>Gain Error</t>
  </si>
  <si>
    <t>Gain Drift</t>
  </si>
  <si>
    <t>Offset Error</t>
  </si>
  <si>
    <t>Offset Drift</t>
  </si>
  <si>
    <t>Mixed Error</t>
  </si>
  <si>
    <t>Input Bias Current Error</t>
  </si>
  <si>
    <t>Vin check</t>
  </si>
  <si>
    <t xml:space="preserve">Warning = </t>
  </si>
  <si>
    <t>Error =</t>
  </si>
  <si>
    <t>R3 Standard 1% Resistor</t>
  </si>
  <si>
    <t>R3' Standard 1% Resistor</t>
  </si>
  <si>
    <t>RC Filter Resistance, RF</t>
  </si>
  <si>
    <t>RC Filter Resistance, CF</t>
  </si>
  <si>
    <t>RC Filter Cutoff Frequency</t>
  </si>
  <si>
    <t>Variation of input bias current and external resistor temperature drift is not accounted for.</t>
  </si>
  <si>
    <t>krealideal</t>
  </si>
  <si>
    <t>Maximum +FS Differential Input Voltage</t>
  </si>
  <si>
    <t>Minimum +FS Differential Input Voltage</t>
  </si>
  <si>
    <t>AMC1211-Q1</t>
  </si>
  <si>
    <t>AMC3301-Q1</t>
  </si>
  <si>
    <t>AMC3330-Q1</t>
  </si>
  <si>
    <t>AMC3302</t>
  </si>
  <si>
    <t>AMC1300B-Q1</t>
  </si>
  <si>
    <t>Voltage Sensing Calculator</t>
  </si>
  <si>
    <r>
      <rPr>
        <u/>
        <sz val="10"/>
        <rFont val="Arial"/>
        <family val="2"/>
      </rPr>
      <t xml:space="preserve">For any futher assistance on this tool, please post your question in the following forum - </t>
    </r>
    <r>
      <rPr>
        <b/>
        <u/>
        <sz val="10"/>
        <color theme="10"/>
        <rFont val="Arial"/>
        <family val="2"/>
      </rPr>
      <t>E2E Precision Data Converters Forum</t>
    </r>
  </si>
  <si>
    <t>License</t>
  </si>
  <si>
    <t>Calculates a series of error values using an isolation amplifier for a voltage sense circuit in various configurations</t>
  </si>
  <si>
    <t>Compares the datasheet specifications of isolation amplifiers that can be used for voltage sensing</t>
  </si>
  <si>
    <t>This document provides estimates of the errors associated with using isolation amplifier devices in a voltage sensing configuration.</t>
  </si>
  <si>
    <t>Note: if no maximum specification is given in the datasheet, the maximum value is estimated at 3x the typical value. If no typical is given, the typical value is estimated at 1/3x the maximum.</t>
  </si>
  <si>
    <t>AMC3330</t>
  </si>
  <si>
    <t>AMC3302-Q1</t>
  </si>
  <si>
    <t>AMC1202</t>
  </si>
  <si>
    <t>AMC1411</t>
  </si>
  <si>
    <t>AMC1400</t>
  </si>
  <si>
    <t>AMC1350</t>
  </si>
  <si>
    <t>AMC1351</t>
  </si>
  <si>
    <t>Device</t>
  </si>
  <si>
    <t>Sensing Application</t>
  </si>
  <si>
    <t>± Input voltage range</t>
  </si>
  <si>
    <t>Isolation Rating</t>
  </si>
  <si>
    <t>Integrated DC/DC</t>
  </si>
  <si>
    <t>14mm Package</t>
  </si>
  <si>
    <t>Datasheet:</t>
  </si>
  <si>
    <t>AMC3302:</t>
  </si>
  <si>
    <t>Current</t>
  </si>
  <si>
    <t>± 50mV</t>
  </si>
  <si>
    <t>Reinforced</t>
  </si>
  <si>
    <t>YES</t>
  </si>
  <si>
    <t>http://www.ti.com/lit/gpn/AMC3302</t>
  </si>
  <si>
    <t>AMC3302-Q1:</t>
  </si>
  <si>
    <t>http://www.ti.com/lit/gpn/AMC3302-Q1</t>
  </si>
  <si>
    <t>http://www.ti.com/lit/gpn/AMC1302</t>
  </si>
  <si>
    <t>AMC1302-Q1:</t>
  </si>
  <si>
    <t>http://www.ti.com/lit/gpn/AMC1302-Q1</t>
  </si>
  <si>
    <t>Basic</t>
  </si>
  <si>
    <t>http://www.ti.com/lit/gpn/AMC1202</t>
  </si>
  <si>
    <t>± 250mV</t>
  </si>
  <si>
    <t>http://www.ti.com/lit/gpn/AMC3301</t>
  </si>
  <si>
    <t>AMC3301-Q1:</t>
  </si>
  <si>
    <t>http://www.ti.com/lit/gpn/AMC3301-Q1</t>
  </si>
  <si>
    <t>http://www.ti.com/lit/gpn/AMC1300</t>
  </si>
  <si>
    <t>AMC1300B-Q1:</t>
  </si>
  <si>
    <t>http://www.ti.com/lit/gpn/AMC1300B-Q1</t>
  </si>
  <si>
    <t>AMC1400:</t>
  </si>
  <si>
    <t>http://www.ti.com/lit/gpn/AMC1400</t>
  </si>
  <si>
    <t>http://www.ti.com/lit/gpn/AMC1301</t>
  </si>
  <si>
    <t>http://www.ti.com/lit/gpn/AMC1301-Q1</t>
  </si>
  <si>
    <t>AMC3330:</t>
  </si>
  <si>
    <t>Voltage</t>
  </si>
  <si>
    <t>± 1V</t>
  </si>
  <si>
    <t>http://www.ti.com/lit/gpn/AMC3330</t>
  </si>
  <si>
    <t>AMC3330-Q1:</t>
  </si>
  <si>
    <t>http://www.ti.com/lit/gpn/AMC3330-Q1</t>
  </si>
  <si>
    <t>± 5V</t>
  </si>
  <si>
    <t>http://www.ti.com/lit/gpn/AMC1350</t>
  </si>
  <si>
    <t>± 12V</t>
  </si>
  <si>
    <t>http://www.ti.com/lit/gpn/ISO224</t>
  </si>
  <si>
    <t>0 - 5V</t>
  </si>
  <si>
    <t>http://www.ti.com/lit/gpn/AMC1351</t>
  </si>
  <si>
    <t>0 - 2V</t>
  </si>
  <si>
    <t>http://www.ti.com/lit/gpn/AMC1311</t>
  </si>
  <si>
    <t>http://www.ti.com/lit/gpn/AMC1311-Q1</t>
  </si>
  <si>
    <t>AMC1411:</t>
  </si>
  <si>
    <t>http://www.ti.com/lit/gpn/AMC1411</t>
  </si>
  <si>
    <t>Automotive</t>
  </si>
  <si>
    <t>Ambient Temperature Min</t>
  </si>
  <si>
    <t>Ambient Temperature Max</t>
  </si>
  <si>
    <t>1+2+3 (RSS)</t>
  </si>
  <si>
    <t xml:space="preserve"> Gain</t>
  </si>
  <si>
    <t>OPA Input Offset</t>
  </si>
  <si>
    <t>Output of AMC</t>
  </si>
  <si>
    <t>OPA Offset Drift</t>
  </si>
  <si>
    <t>OPA Rf/Rg Tolerance</t>
  </si>
  <si>
    <t>Output of OPAMP</t>
  </si>
  <si>
    <t>Rf</t>
  </si>
  <si>
    <t>Rg</t>
  </si>
  <si>
    <t>Error %FSR</t>
  </si>
  <si>
    <t>Worst-Case Total Error</t>
  </si>
  <si>
    <t>Worst-Case Total Error after offset calibration</t>
  </si>
  <si>
    <t>Worst-Case Total Error after offset and 2-point gain calibration</t>
  </si>
  <si>
    <t>Worst-Case Total Error after offset and 2-point gain calibration over temperature</t>
  </si>
  <si>
    <t>Typical Total Error after offset calibration</t>
  </si>
  <si>
    <t>Typical Total Error after offset and 2-point gain calibration</t>
  </si>
  <si>
    <t>Resistor Divider Tolerance</t>
  </si>
  <si>
    <t>Resistor Divider Drift</t>
  </si>
  <si>
    <t>V Error @Input</t>
  </si>
  <si>
    <t>Rdiv_min</t>
  </si>
  <si>
    <t>Rdiv_nom</t>
  </si>
  <si>
    <t>Rdiv_max</t>
  </si>
  <si>
    <t>Sense Resistor Tolerance</t>
  </si>
  <si>
    <t>Sense Resistor Drift</t>
  </si>
  <si>
    <t>Rsense_min</t>
  </si>
  <si>
    <t>Rsense_nom</t>
  </si>
  <si>
    <t>Rsense_max</t>
  </si>
  <si>
    <t>External Resistor Tolerance</t>
  </si>
  <si>
    <t>+External Resistor Drift</t>
  </si>
  <si>
    <t>+Sense Resistor Drift</t>
  </si>
  <si>
    <t xml:space="preserve">Typical Total Error </t>
  </si>
  <si>
    <t>Voltages</t>
  </si>
  <si>
    <t>Vin_FS_Rdiv_min</t>
  </si>
  <si>
    <t>Vin_FS_Rdiv_max</t>
  </si>
  <si>
    <t>Vin_FS_Rdiv_min+drift</t>
  </si>
  <si>
    <t>Vin_FS_Rdiv_max+drift</t>
  </si>
  <si>
    <t>Vin_FS_Rsense_min</t>
  </si>
  <si>
    <t>Vin_FS_Rsense_max</t>
  </si>
  <si>
    <t>Vin_FS_Rsense_min+drift</t>
  </si>
  <si>
    <t>Vin_FS_Rsense_max+drift</t>
  </si>
  <si>
    <t>Errors</t>
  </si>
  <si>
    <t>Rdiv min + Rsense max Error</t>
  </si>
  <si>
    <t>Vin_FS</t>
  </si>
  <si>
    <t>Vin_FS_drift</t>
  </si>
  <si>
    <t>GE_Rdiv_min</t>
  </si>
  <si>
    <t>GE_Rdiv_max</t>
  </si>
  <si>
    <t>GE+T_Rdiv_min+drift</t>
  </si>
  <si>
    <t>GE+T_Rdiv_max+drift</t>
  </si>
  <si>
    <t>GE_FS_Rsense_min</t>
  </si>
  <si>
    <t>GE_Rsense_max</t>
  </si>
  <si>
    <t>GE+T_Rsense_min+drift</t>
  </si>
  <si>
    <t>GE+T_Rsense_max+drift</t>
  </si>
  <si>
    <t>GE</t>
  </si>
  <si>
    <t>GE+T</t>
  </si>
  <si>
    <t>Mixed Error + GE+T_Rin + Ib</t>
  </si>
  <si>
    <t>ACPLC797-500E</t>
  </si>
  <si>
    <t>19,000 Ω</t>
  </si>
  <si>
    <t>ACPL-78T</t>
  </si>
  <si>
    <t>TLP7820B</t>
  </si>
  <si>
    <t>TLP7820A</t>
  </si>
  <si>
    <t>TLP7820</t>
  </si>
  <si>
    <t>Si8920A</t>
  </si>
  <si>
    <t>Si8920B</t>
  </si>
  <si>
    <t>ACPLC79B</t>
  </si>
  <si>
    <t>ACPLC79A</t>
  </si>
  <si>
    <t>ACPLC790</t>
  </si>
  <si>
    <t>ACPLC87B</t>
  </si>
  <si>
    <t>ACPLC87A</t>
  </si>
  <si>
    <t>ACPLC870</t>
  </si>
  <si>
    <t>NSi1311</t>
  </si>
  <si>
    <t>Si8931</t>
  </si>
  <si>
    <t>Si8932</t>
  </si>
  <si>
    <t>NSi1311-Q1</t>
  </si>
  <si>
    <t>NSi1200</t>
  </si>
  <si>
    <t>NSi1300D25</t>
  </si>
  <si>
    <t>NSi1300D25-Q1</t>
  </si>
  <si>
    <t>NSi1300D05</t>
  </si>
  <si>
    <t>NSi1300D05-Q1</t>
  </si>
  <si>
    <t>NSi1312D</t>
  </si>
  <si>
    <t>NSi1312S</t>
  </si>
  <si>
    <t>CA-IS1200</t>
  </si>
  <si>
    <t>CA-IS1300G05</t>
  </si>
  <si>
    <t>CA-IS1300G25</t>
  </si>
  <si>
    <t>CA-IS1300B25</t>
  </si>
  <si>
    <t>AMC Rin drift specified at 10ppm/C</t>
  </si>
  <si>
    <t>Error due to variation in Rin; +/-15% assumed if not specified</t>
  </si>
  <si>
    <t>ADuM4195-1</t>
  </si>
  <si>
    <t>AMC0381D-Q1</t>
  </si>
  <si>
    <t>Resistor Divider (1) + AMC1311B-Q1 (2) + TLV9002 (3)</t>
  </si>
  <si>
    <t>Resistor Divider Current (uA)</t>
  </si>
  <si>
    <t>Diode leakage Error</t>
  </si>
  <si>
    <t>Diode leakage Error = 30nA * 0.1% Tolerance mismatch of 300kOhm Resistors</t>
  </si>
  <si>
    <t>Root-sum-square (RSS)</t>
  </si>
  <si>
    <t>Maximum Error (mV)</t>
  </si>
  <si>
    <t>Typical Error (mV)</t>
  </si>
  <si>
    <t>Total Error</t>
  </si>
  <si>
    <t>Total Error after offset cal</t>
  </si>
  <si>
    <t>Total Error after offset and 2-point gain calibration</t>
  </si>
  <si>
    <t>Total Error after offset and 2-point gain cal over temperature</t>
  </si>
  <si>
    <t>Typical Error (%FSR)</t>
  </si>
  <si>
    <t>Worst-Case Error (%FSR)</t>
  </si>
  <si>
    <t>Worst-Case Error (mV)</t>
  </si>
  <si>
    <t>Ideal +FS Input</t>
  </si>
  <si>
    <t>Usable +FS Input</t>
  </si>
  <si>
    <t>Ideal +FS Output</t>
  </si>
  <si>
    <t>User Inputs for Dif. To SE Conversion</t>
  </si>
  <si>
    <t>Worst Case Differential to Single-Ended Error PPM</t>
  </si>
  <si>
    <t>Final Error Results</t>
  </si>
  <si>
    <t>Typical Total Error (PPM)</t>
  </si>
  <si>
    <t>Typical Total Error (%FSR)</t>
  </si>
  <si>
    <t>Worst-Case Total Error (mV)</t>
  </si>
  <si>
    <t>Worst-Case Total Error (PPM)</t>
  </si>
  <si>
    <t>Worst-Case Total Error (%FSR)</t>
  </si>
  <si>
    <t>Typical Total Error (mV)</t>
  </si>
  <si>
    <t>Worst Case Resistor Divider Error PPM</t>
  </si>
  <si>
    <t>AMC Error PPM</t>
  </si>
  <si>
    <t xml:space="preserve">Total Worst Case PPM </t>
  </si>
  <si>
    <t>Total Error PPM</t>
  </si>
  <si>
    <t>mV Error</t>
  </si>
  <si>
    <t>mV Error @Input</t>
  </si>
  <si>
    <t>1)</t>
  </si>
  <si>
    <t>Output options</t>
  </si>
  <si>
    <t>Difference between ideal voltage and actual voltage output</t>
  </si>
  <si>
    <t>Data Sheet typical and maximum values listed &amp; translated to mV</t>
  </si>
  <si>
    <t>AMC devices</t>
  </si>
  <si>
    <t>How gain error changes over temperature</t>
  </si>
  <si>
    <t>Difference between ideal offset to actual offset</t>
  </si>
  <si>
    <t>Ambient Temperature Minimum</t>
  </si>
  <si>
    <t>Minimum temperature of environment</t>
  </si>
  <si>
    <t>Ambient Temperature Maximum</t>
  </si>
  <si>
    <t>Maximum temperature of environment</t>
  </si>
  <si>
    <t>How offset error changes over temperature</t>
  </si>
  <si>
    <r>
      <t xml:space="preserve">Resistor value of input filter (typ. 10 </t>
    </r>
    <r>
      <rPr>
        <sz val="11"/>
        <color theme="1"/>
        <rFont val="Calibri"/>
        <family val="2"/>
      </rPr>
      <t>Ω)</t>
    </r>
  </si>
  <si>
    <t xml:space="preserve">Integral Non Linearity - deviation of the actual transfer function with respect to ideal transfer function </t>
  </si>
  <si>
    <t>Capacitor value of input filter (typ 10 nF)</t>
  </si>
  <si>
    <t>2)</t>
  </si>
  <si>
    <t xml:space="preserve">User Inputs Results </t>
  </si>
  <si>
    <t>How INL error changes over temperature</t>
  </si>
  <si>
    <t>Cutoff filter value from input filter</t>
  </si>
  <si>
    <t>6)</t>
  </si>
  <si>
    <r>
      <rPr>
        <b/>
        <sz val="11"/>
        <color theme="1"/>
        <rFont val="Calibri"/>
        <family val="2"/>
        <scheme val="minor"/>
      </rPr>
      <t xml:space="preserve">Error Results - </t>
    </r>
    <r>
      <rPr>
        <sz val="11"/>
        <color theme="1"/>
        <rFont val="Calibri"/>
        <family val="2"/>
        <scheme val="minor"/>
      </rPr>
      <t>Error of device with user inputs</t>
    </r>
  </si>
  <si>
    <t>Final Result! Error of device &amp; user inputs only</t>
  </si>
  <si>
    <t>Error calculated cutput preferred typical and maximum values, listed as a percentage of full-scale range &amp; translated to mV</t>
  </si>
  <si>
    <t>Total Error after offset calibration</t>
  </si>
  <si>
    <t>Error if calibrate offset</t>
  </si>
  <si>
    <t>Error if calibrate offset twice</t>
  </si>
  <si>
    <t>Error if calibrate offset twice over temperaure (should have best results)</t>
  </si>
  <si>
    <t>4)</t>
  </si>
  <si>
    <t>Differential to single-ended conversion directions and results explanations.</t>
  </si>
  <si>
    <t>5)</t>
  </si>
  <si>
    <t>Reference Specifications table above for definitions.</t>
  </si>
  <si>
    <t>Voltage required between two input terminals of selected op amp to have 0V output (from OPA data sheet)</t>
  </si>
  <si>
    <t>Differential to Single-Ended Conversion Error Results</t>
  </si>
  <si>
    <t>Reference Error Results table above for definitions</t>
  </si>
  <si>
    <t>How OPA input offset changes over temperature (from OPA data sheet)</t>
  </si>
  <si>
    <t>Device (1) + Shunt Resistor (2) + Op Amp (3) error results in typical/worst-case values:</t>
  </si>
  <si>
    <t>Tolerance of op amp resistors selected</t>
  </si>
  <si>
    <t>Feedback resistor value (recommended value in device data sheet)</t>
  </si>
  <si>
    <t>Root-sum-square error in PPM</t>
  </si>
  <si>
    <t>Non inverting ground resistor value (recommended value in device data sheet)</t>
  </si>
  <si>
    <t>Total Error percentage of full scale range</t>
  </si>
  <si>
    <t>Error in mV of Op Amp</t>
  </si>
  <si>
    <r>
      <rPr>
        <b/>
        <sz val="11"/>
        <color theme="1"/>
        <rFont val="Calibri"/>
        <family val="2"/>
        <scheme val="minor"/>
      </rPr>
      <t xml:space="preserve">AMC Error PPM - </t>
    </r>
    <r>
      <rPr>
        <sz val="11"/>
        <color theme="1"/>
        <rFont val="Calibri"/>
        <family val="2"/>
        <scheme val="minor"/>
      </rPr>
      <t>Error from device over full-scale output in parts per million</t>
    </r>
  </si>
  <si>
    <t>Error in mV at input of device</t>
  </si>
  <si>
    <t>A Error @Input</t>
  </si>
  <si>
    <t>Error in A at input of device</t>
  </si>
  <si>
    <t>3)</t>
  </si>
  <si>
    <t>Tolerance of shunt resistor translated to PPM</t>
  </si>
  <si>
    <t>How shunt resistor tolerance changes over temperature in PPM</t>
  </si>
  <si>
    <r>
      <t xml:space="preserve">Worst Case Differential to Single-Ended Error PPM - </t>
    </r>
    <r>
      <rPr>
        <sz val="11"/>
        <color theme="1"/>
        <rFont val="Calibri"/>
        <family val="2"/>
        <scheme val="minor"/>
      </rPr>
      <t>Error from Op Amp user inputs</t>
    </r>
  </si>
  <si>
    <t>Gain of Op Amp feedback resistors</t>
  </si>
  <si>
    <r>
      <t>Positive full-scale output of AMC in mV [</t>
    </r>
    <r>
      <rPr>
        <i/>
        <sz val="11"/>
        <color theme="1"/>
        <rFont val="Calibri"/>
        <family val="2"/>
        <scheme val="minor"/>
      </rPr>
      <t>Input of Op Amp</t>
    </r>
    <r>
      <rPr>
        <sz val="11"/>
        <color theme="1"/>
        <rFont val="Calibri"/>
        <family val="2"/>
        <scheme val="minor"/>
      </rPr>
      <t>]</t>
    </r>
  </si>
  <si>
    <t>Output of Op Amp</t>
  </si>
  <si>
    <t>Expected output of Op Amp based on previous two values</t>
  </si>
  <si>
    <t>Difference between ideal voltage and actual voltage output of Op Amp</t>
  </si>
  <si>
    <t>How gain error changes over temperature of Op Amp</t>
  </si>
  <si>
    <t>Difference between ideal offset to actual offset of Op Amp</t>
  </si>
  <si>
    <t>How offset error changes over temperature of Op Amp</t>
  </si>
  <si>
    <t>Maximum voltage system will detect</t>
  </si>
  <si>
    <t>R1/R2 Resistance</t>
  </si>
  <si>
    <t>Voltage divider value (R = V/I; V=max. input, I=max. current)</t>
  </si>
  <si>
    <t>Voltage across shunt resistor</t>
  </si>
  <si>
    <t>Calculated shunt resistor value</t>
  </si>
  <si>
    <t>Calculated R3' value</t>
  </si>
  <si>
    <t>Closest 1% rated resistor value to ideal resistance</t>
  </si>
  <si>
    <t>Power dissipated across resistor divider at room temperature</t>
  </si>
  <si>
    <t>Maximum full scale differential input voltage in respect to input current</t>
  </si>
  <si>
    <t>Minimum full scale differential input voltage in respect to input current</t>
  </si>
  <si>
    <t>Maximum full scale differential input voltage in respect to input current and room temperature</t>
  </si>
  <si>
    <t>Minimum full scale differential input voltage in respect to input current and room temperature</t>
  </si>
  <si>
    <t>Current across resistor divider</t>
  </si>
  <si>
    <r>
      <t xml:space="preserve">Worst Case Resistor Divider Error PPM - </t>
    </r>
    <r>
      <rPr>
        <sz val="11"/>
        <color theme="1"/>
        <rFont val="Calibri"/>
        <family val="2"/>
        <scheme val="minor"/>
      </rPr>
      <t>Resistor divider error in parts per million</t>
    </r>
  </si>
  <si>
    <t>Resistor Divider Tolderance</t>
  </si>
  <si>
    <t>Tolerance of resistors from resistor divider</t>
  </si>
  <si>
    <t>Drift of resistors from resistor divider</t>
  </si>
  <si>
    <r>
      <t xml:space="preserve">Total Worst Case PPM Solutions - </t>
    </r>
    <r>
      <rPr>
        <sz val="11"/>
        <color theme="1"/>
        <rFont val="Calibri"/>
        <family val="2"/>
        <scheme val="minor"/>
      </rPr>
      <t>Section 1 + 2 + 3; root-sum-square</t>
    </r>
  </si>
  <si>
    <t>http://www.ti.com/lit/gpn/AMC1211-q1</t>
  </si>
  <si>
    <t>Intermediary Result =</t>
  </si>
  <si>
    <t>Final Result =</t>
  </si>
  <si>
    <t>OPA Rf/Rg Drift</t>
  </si>
  <si>
    <t>Calculated input offset as per drawn circuit due to OPA offset, offset drift, Rf/Rg tolerance, Rf/Rg drift, assuming 5V supply and 2.5V common-mode output</t>
  </si>
  <si>
    <t>How OPA Rf/Rg tolerance changes over temperature</t>
  </si>
  <si>
    <t>Reference Input Offset Voltage</t>
  </si>
  <si>
    <t>Reference Offset Voltage Drift</t>
  </si>
  <si>
    <t>How reference input offset voltage changes over temperature</t>
  </si>
  <si>
    <t>5. Go to the Directions tab for descriptions of each cell in the Voltage Sensing Calculator</t>
  </si>
  <si>
    <t xml:space="preserve">Link: </t>
  </si>
  <si>
    <t>Directions</t>
  </si>
  <si>
    <t xml:space="preserve">Voltage Sensing Calculator directions and results explanations. </t>
  </si>
  <si>
    <r>
      <rPr>
        <u/>
        <sz val="10"/>
        <rFont val="Arial"/>
        <family val="2"/>
      </rPr>
      <t xml:space="preserve">For any futher assistance on this tool, please post your question in the following forum - </t>
    </r>
    <r>
      <rPr>
        <u/>
        <sz val="10"/>
        <color theme="10"/>
        <rFont val="Arial"/>
        <family val="2"/>
      </rPr>
      <t>E2E Precision Data Converters Forum</t>
    </r>
  </si>
  <si>
    <t>Definitions and descriptions of calculator parameters and results</t>
  </si>
  <si>
    <t>https://www.ti.com/lit/sbaa350</t>
  </si>
  <si>
    <t>Input Configuration</t>
  </si>
  <si>
    <t>Output Type</t>
  </si>
  <si>
    <t>±Output Voltage Range</t>
  </si>
  <si>
    <t>AMC0311D</t>
  </si>
  <si>
    <t>AMC0311D-Q1</t>
  </si>
  <si>
    <t>AMC0311R-Q1 (Vref = 3.3V)</t>
  </si>
  <si>
    <t>Ratiometric</t>
  </si>
  <si>
    <t>AMC0311R-Q1 (Vref = 5V)</t>
  </si>
  <si>
    <t>AMC0311S</t>
  </si>
  <si>
    <t>AMC0311S-Q1</t>
  </si>
  <si>
    <t>2.05 V</t>
  </si>
  <si>
    <t>2 V</t>
  </si>
  <si>
    <t xml:space="preserve"> 2 V</t>
  </si>
  <si>
    <t>2.49 V</t>
  </si>
  <si>
    <t>0.2-4.8 V</t>
  </si>
  <si>
    <t>0-2V</t>
  </si>
  <si>
    <t>0-2.25V</t>
  </si>
  <si>
    <t>http://www.ti.com/lit/gpn/AMC0311D</t>
  </si>
  <si>
    <t>http://www.ti.com/lit/gpn/AMC0311D-Q1</t>
  </si>
  <si>
    <t>http://www.ti.com/lit/gpn/AMC0311S</t>
  </si>
  <si>
    <t>http://www.ti.com/lit/gpn/AMC0311S-Q1</t>
  </si>
  <si>
    <t>http://www.ti.com/lit/gpn/AMC0311R-Q1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</si>
</sst>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164" formatCode="0.000%"/>
    <numFmt numFmtId="165" formatCode="0\ &quot;ppm/°C&quot;"/>
    <numFmt numFmtId="166" formatCode="0.00\ &quot;mV&quot;"/>
    <numFmt numFmtId="167" formatCode="0.00\ &quot; µV/°C&quot;"/>
    <numFmt numFmtId="168" formatCode="0\ &quot;µA&quot;"/>
    <numFmt numFmtId="169" formatCode="0.000\ &quot;mV&quot;"/>
    <numFmt numFmtId="170" formatCode="0.0000\ &quot;V&quot;"/>
    <numFmt numFmtId="171" formatCode="0\ &quot;V&quot;"/>
    <numFmt numFmtId="172" formatCode="#,##0\ &quot;Ω&quot;"/>
    <numFmt numFmtId="173" formatCode="0.000\ &quot;µA&quot;"/>
    <numFmt numFmtId="174" formatCode="0.0\ &quot;ppm/°C&quot;"/>
    <numFmt numFmtId="175" formatCode="#,##0\ &quot;mV&quot;"/>
    <numFmt numFmtId="176" formatCode="0\ &quot;°C&quot;"/>
    <numFmt numFmtId="177" formatCode="0.0000\ &quot;µA&quot;"/>
    <numFmt numFmtId="178" formatCode="0.000\ &quot;V&quot;"/>
    <numFmt numFmtId="179" formatCode="#,##0.000\ &quot;Ω&quot;"/>
    <numFmt numFmtId="180" formatCode="#,##0.000\ &quot;mV&quot;"/>
    <numFmt numFmtId="181" formatCode="0.000000000"/>
    <numFmt numFmtId="182" formatCode="#,##0.00\ &quot;Ω&quot;"/>
    <numFmt numFmtId="183" formatCode="#,###.00\ &quot;mV&quot;"/>
    <numFmt numFmtId="184" formatCode="#,##0\ &quot;mW&quot;"/>
    <numFmt numFmtId="185" formatCode="0.00\ &quot;nF&quot;"/>
    <numFmt numFmtId="186" formatCode="#,###\ &quot;kHz&quot;"/>
    <numFmt numFmtId="187" formatCode="#,##0.0"/>
    <numFmt numFmtId="188" formatCode="0.0000\ &quot;mV&quot;"/>
    <numFmt numFmtId="189" formatCode="0.0\ &quot;%&quot;"/>
    <numFmt numFmtId="190" formatCode="0.000"/>
    <numFmt numFmtId="191" formatCode="#,##0.0\ &quot;kΩ&quot;"/>
    <numFmt numFmtId="192" formatCode="0.00\ &quot;V&quot;"/>
    <numFmt numFmtId="193" formatCode="#,##0.00\ &quot;mV&quot;"/>
    <numFmt numFmtId="194" formatCode="0.0000%"/>
    <numFmt numFmtId="195" formatCode="#,##0.000\ &quot;uA&quot;"/>
    <numFmt numFmtId="196" formatCode="0.000\ &quot;uA&quot;"/>
    <numFmt numFmtId="197" formatCode="0\ &quot;mV&quot;"/>
    <numFmt numFmtId="198" formatCode="0.0\ &quot;V&quot;"/>
    <numFmt numFmtId="199" formatCode="0.0"/>
  </numFmts>
  <fonts count="49">
    <font>
      <sz val="11"/>
      <color theme="1"/>
      <name val="Calibri"/>
      <family val="2"/>
      <scheme val="minor"/>
    </font>
    <font>
      <b/>
      <sz val="11"/>
      <color theme="1"/>
      <name val="Calibri"/>
      <family val="2"/>
      <scheme val="minor"/>
    </font>
    <font>
      <sz val="11"/>
      <color theme="1"/>
      <name val="Calibri"/>
      <family val="2"/>
    </font>
    <font>
      <b/>
      <sz val="11"/>
      <color theme="1"/>
      <name val="Arial"/>
      <family val="2"/>
    </font>
    <font>
      <u/>
      <sz val="11"/>
      <color theme="10"/>
      <name val="Calibri"/>
      <family val="2"/>
      <scheme val="minor"/>
    </font>
    <font>
      <u/>
      <sz val="11"/>
      <color theme="10"/>
      <name val="Arial"/>
      <family val="2"/>
    </font>
    <font>
      <sz val="11"/>
      <color theme="1"/>
      <name val="Arial"/>
      <family val="2"/>
    </font>
    <font>
      <sz val="10"/>
      <color theme="1"/>
      <name val="Arial"/>
      <family val="2"/>
    </font>
    <font>
      <b/>
      <u/>
      <sz val="10"/>
      <color theme="10"/>
      <name val="Arial"/>
      <family val="2"/>
    </font>
    <font>
      <b/>
      <sz val="10"/>
      <color theme="1"/>
      <name val="Arial"/>
      <family val="2"/>
    </font>
    <font>
      <sz val="11"/>
      <color rgb="FFFF0000"/>
      <name val="Calibri"/>
      <family val="2"/>
      <scheme val="minor"/>
    </font>
    <font>
      <b/>
      <sz val="14"/>
      <color theme="1"/>
      <name val="Calibri"/>
      <family val="2"/>
      <scheme val="minor"/>
    </font>
    <font>
      <b/>
      <sz val="11"/>
      <color theme="1"/>
      <name val="Calibri"/>
      <family val="2"/>
    </font>
    <font>
      <sz val="11"/>
      <name val="Calibri"/>
      <family val="2"/>
      <scheme val="minor"/>
    </font>
    <font>
      <b/>
      <sz val="11"/>
      <color rgb="FFDE0000"/>
      <name val="Calibri"/>
      <family val="2"/>
      <scheme val="minor"/>
    </font>
    <font>
      <i/>
      <sz val="10"/>
      <color theme="1"/>
      <name val="Arial"/>
      <family val="2"/>
    </font>
    <font>
      <sz val="11"/>
      <color theme="0"/>
      <name val="Calibri"/>
      <family val="2"/>
      <scheme val="minor"/>
    </font>
    <font>
      <sz val="11"/>
      <color theme="1"/>
      <name val="Calibri"/>
      <family val="2"/>
      <scheme val="minor"/>
    </font>
    <font>
      <sz val="11"/>
      <color theme="1"/>
      <name val="Calibri"/>
      <family val="2"/>
    </font>
    <font>
      <sz val="36"/>
      <color theme="1"/>
      <name val="Calibri"/>
      <family val="2"/>
      <scheme val="minor"/>
    </font>
    <font>
      <b/>
      <sz val="36"/>
      <color theme="1"/>
      <name val="Calibri"/>
      <family val="2"/>
      <scheme val="minor"/>
    </font>
    <font>
      <sz val="6"/>
      <name val="Calibri"/>
      <family val="3"/>
      <charset val="128"/>
      <scheme val="minor"/>
    </font>
    <font>
      <b/>
      <sz val="11"/>
      <color theme="0"/>
      <name val="Calibri"/>
      <family val="2"/>
      <scheme val="minor"/>
    </font>
    <font>
      <sz val="14"/>
      <color rgb="FF464646"/>
      <name val="Arial"/>
      <family val="2"/>
    </font>
    <font>
      <sz val="14"/>
      <color rgb="FF464646"/>
      <name val="Arial"/>
      <family val="2"/>
    </font>
    <font>
      <sz val="7"/>
      <color rgb="FF000000"/>
      <name val="Verdana"/>
      <family val="2"/>
    </font>
    <font>
      <sz val="11"/>
      <color theme="1"/>
      <name val="Calibri"/>
      <family val="2"/>
      <scheme val="minor"/>
    </font>
    <font>
      <u/>
      <sz val="10"/>
      <color theme="10"/>
      <name val="Arial"/>
      <family val="2"/>
    </font>
    <font>
      <u/>
      <sz val="10"/>
      <name val="Arial"/>
      <family val="2"/>
    </font>
    <font>
      <b/>
      <sz val="11"/>
      <name val="Calibri"/>
      <family val="2"/>
      <scheme val="minor"/>
    </font>
    <font>
      <b/>
      <sz val="10"/>
      <color theme="0"/>
      <name val="Arial"/>
      <family val="2"/>
    </font>
    <font>
      <sz val="11"/>
      <color theme="1"/>
      <name val="Calibri"/>
      <family val="2"/>
      <scheme val="minor"/>
    </font>
    <font>
      <sz val="11"/>
      <color theme="1"/>
      <name val="Calibri"/>
      <family val="2"/>
    </font>
    <font>
      <sz val="14"/>
      <color rgb="FF464646"/>
      <name val="Arial"/>
      <family val="2"/>
    </font>
    <font>
      <u/>
      <sz val="11"/>
      <color theme="1"/>
      <name val="Calibri"/>
      <family val="2"/>
      <scheme val="minor"/>
    </font>
    <font>
      <i/>
      <sz val="11"/>
      <color theme="1"/>
      <name val="Calibri"/>
      <family val="2"/>
      <scheme val="minor"/>
    </font>
    <font>
      <b/>
      <sz val="14"/>
      <color theme="0"/>
      <name val="Calibri"/>
      <family val="2"/>
      <scheme val="minor"/>
    </font>
    <font>
      <sz val="11"/>
      <color theme="1"/>
      <name val="Calibri"/>
      <family val="2"/>
      <scheme val="minor"/>
    </font>
    <font>
      <sz val="11"/>
      <color theme="1"/>
      <name val="Calibri"/>
      <family val="2"/>
    </font>
    <font>
      <b/>
      <u/>
      <sz val="11"/>
      <color theme="1"/>
      <name val="Calibri"/>
      <family val="2"/>
      <scheme val="minor"/>
    </font>
    <font>
      <b/>
      <i/>
      <sz val="11"/>
      <color theme="1"/>
      <name val="Calibri"/>
      <family val="2"/>
      <scheme val="minor"/>
    </font>
    <font>
      <sz val="11"/>
      <color theme="1"/>
      <name val="Calibri"/>
      <scheme val="minor"/>
    </font>
    <font>
      <sz val="11"/>
      <color theme="1"/>
      <name val="Calibri"/>
    </font>
    <font>
      <sz val="14"/>
      <color rgb="FF464646"/>
      <name val="Arial"/>
    </font>
    <font>
      <b/>
      <i/>
      <sz val="10"/>
      <color theme="1"/>
      <name val="Calibri"/>
      <family val="2"/>
      <scheme val="minor"/>
    </font>
    <font>
      <sz val="10"/>
      <color theme="1"/>
      <name val="Calibri"/>
      <family val="2"/>
      <scheme val="minor"/>
    </font>
    <font>
      <b/>
      <sz val="10"/>
      <name val="Arial"/>
      <family val="2"/>
    </font>
    <font>
      <sz val="10"/>
      <name val="Arial"/>
      <family val="2"/>
    </font>
    <font>
      <u/>
      <sz val="10"/>
      <color theme="10"/>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rgb="FFDE0000"/>
        <bgColor indexed="64"/>
      </patternFill>
    </fill>
    <fill>
      <patternFill patternType="solid">
        <fgColor rgb="FFCCFFCC"/>
        <bgColor indexed="64"/>
      </patternFill>
    </fill>
    <fill>
      <patternFill patternType="solid">
        <fgColor rgb="FFFFFFCC"/>
        <bgColor indexed="64"/>
      </patternFill>
    </fill>
    <fill>
      <patternFill patternType="solid">
        <fgColor rgb="FF89E0FF"/>
        <bgColor indexed="64"/>
      </patternFill>
    </fill>
    <fill>
      <patternFill patternType="solid">
        <fgColor theme="0"/>
        <bgColor indexed="64"/>
      </patternFill>
    </fill>
    <fill>
      <patternFill patternType="solid">
        <fgColor rgb="FFFFFFFF"/>
        <bgColor indexed="64"/>
      </patternFill>
    </fill>
    <fill>
      <patternFill patternType="solid">
        <fgColor theme="9" tint="0.39997558519241921"/>
        <bgColor indexed="64"/>
      </patternFill>
    </fill>
    <fill>
      <patternFill patternType="solid">
        <fgColor rgb="FFF7F7F7"/>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BDEEFF"/>
        <bgColor indexed="64"/>
      </patternFill>
    </fill>
    <fill>
      <patternFill patternType="solid">
        <fgColor theme="1"/>
        <bgColor indexed="64"/>
      </patternFill>
    </fill>
    <fill>
      <patternFill patternType="solid">
        <fgColor rgb="FFFFFF0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bottom/>
      <diagonal/>
    </border>
    <border>
      <left/>
      <right style="thin">
        <color indexed="64"/>
      </right>
      <top/>
      <bottom style="thin">
        <color indexed="64"/>
      </bottom>
      <diagonal/>
    </border>
    <border>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bottom style="medium">
        <color indexed="64"/>
      </bottom>
      <diagonal/>
    </border>
    <border>
      <left/>
      <right/>
      <top style="thin">
        <color auto="1"/>
      </top>
      <bottom style="thin">
        <color auto="1"/>
      </bottom>
      <diagonal/>
    </border>
    <border>
      <left style="thin">
        <color indexed="64"/>
      </left>
      <right/>
      <top/>
      <bottom/>
      <diagonal/>
    </border>
    <border>
      <left/>
      <right style="medium">
        <color indexed="64"/>
      </right>
      <top/>
      <bottom style="medium">
        <color indexed="64"/>
      </bottom>
      <diagonal/>
    </border>
    <border>
      <left/>
      <right style="thin">
        <color indexed="64"/>
      </right>
      <top style="thin">
        <color auto="1"/>
      </top>
      <bottom style="thin">
        <color auto="1"/>
      </bottom>
      <diagonal/>
    </border>
    <border>
      <left/>
      <right/>
      <top style="thin">
        <color auto="1"/>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rgb="FFC0C0C9"/>
      </right>
      <top/>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rgb="FFDDDDDD"/>
      </left>
      <right style="medium">
        <color rgb="FFDDDDDD"/>
      </right>
      <top style="medium">
        <color rgb="FFDDDDDD"/>
      </top>
      <bottom style="medium">
        <color rgb="FFDDDDDD"/>
      </bottom>
      <diagonal/>
    </border>
    <border>
      <left style="medium">
        <color rgb="FF999999"/>
      </left>
      <right style="medium">
        <color rgb="FFDDDDDD"/>
      </right>
      <top style="medium">
        <color rgb="FF999999"/>
      </top>
      <bottom style="medium">
        <color rgb="FFDDDDDD"/>
      </bottom>
      <diagonal/>
    </border>
    <border>
      <left style="medium">
        <color rgb="FFDDDDDD"/>
      </left>
      <right style="medium">
        <color rgb="FFDDDDDD"/>
      </right>
      <top style="medium">
        <color rgb="FF999999"/>
      </top>
      <bottom style="medium">
        <color rgb="FFDDDDDD"/>
      </bottom>
      <diagonal/>
    </border>
    <border>
      <left style="medium">
        <color rgb="FFDDDDDD"/>
      </left>
      <right style="medium">
        <color rgb="FF999999"/>
      </right>
      <top style="medium">
        <color rgb="FF999999"/>
      </top>
      <bottom style="medium">
        <color rgb="FFDDDDDD"/>
      </bottom>
      <diagonal/>
    </border>
    <border>
      <left style="medium">
        <color rgb="FF999999"/>
      </left>
      <right style="medium">
        <color rgb="FFDDDDDD"/>
      </right>
      <top style="medium">
        <color rgb="FFDDDDDD"/>
      </top>
      <bottom style="medium">
        <color rgb="FFDDDDDD"/>
      </bottom>
      <diagonal/>
    </border>
    <border>
      <left style="medium">
        <color rgb="FFDDDDDD"/>
      </left>
      <right style="medium">
        <color rgb="FF999999"/>
      </right>
      <top style="medium">
        <color rgb="FFDDDDDD"/>
      </top>
      <bottom style="medium">
        <color rgb="FFDDDDDD"/>
      </bottom>
      <diagonal/>
    </border>
    <border>
      <left style="medium">
        <color rgb="FF999999"/>
      </left>
      <right style="medium">
        <color rgb="FFDDDDDD"/>
      </right>
      <top style="medium">
        <color rgb="FFDDDDDD"/>
      </top>
      <bottom style="medium">
        <color rgb="FF999999"/>
      </bottom>
      <diagonal/>
    </border>
    <border>
      <left style="medium">
        <color rgb="FFDDDDDD"/>
      </left>
      <right style="medium">
        <color rgb="FFDDDDDD"/>
      </right>
      <top style="medium">
        <color rgb="FFDDDDDD"/>
      </top>
      <bottom style="medium">
        <color rgb="FF999999"/>
      </bottom>
      <diagonal/>
    </border>
    <border>
      <left style="medium">
        <color rgb="FFDDDDDD"/>
      </left>
      <right style="medium">
        <color rgb="FF999999"/>
      </right>
      <top style="medium">
        <color rgb="FFDDDDDD"/>
      </top>
      <bottom style="medium">
        <color rgb="FF999999"/>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s>
  <cellStyleXfs count="4">
    <xf numFmtId="0" fontId="0" fillId="0" borderId="0"/>
    <xf numFmtId="0" fontId="4" fillId="0" borderId="0" applyNumberFormat="0" applyFill="0" applyBorder="0" applyAlignment="0" applyProtection="0"/>
    <xf numFmtId="0" fontId="26" fillId="0" borderId="0"/>
    <xf numFmtId="9" fontId="17" fillId="0" borderId="0" applyFont="0" applyFill="0" applyBorder="0" applyAlignment="0" applyProtection="0"/>
  </cellStyleXfs>
  <cellXfs count="826">
    <xf numFmtId="0" fontId="0" fillId="0" borderId="0" xfId="0"/>
    <xf numFmtId="0" fontId="15" fillId="0" borderId="19" xfId="0" quotePrefix="1" applyFont="1" applyFill="1" applyBorder="1" applyAlignment="1" applyProtection="1">
      <alignment horizontal="right" vertical="center"/>
    </xf>
    <xf numFmtId="0" fontId="7" fillId="5" borderId="47" xfId="0" applyFont="1" applyFill="1" applyBorder="1" applyAlignment="1" applyProtection="1">
      <alignment horizontal="center" vertical="center"/>
    </xf>
    <xf numFmtId="0" fontId="7" fillId="4" borderId="47" xfId="0" applyFont="1" applyFill="1" applyBorder="1" applyAlignment="1" applyProtection="1">
      <alignment horizontal="center" vertical="center"/>
    </xf>
    <xf numFmtId="0" fontId="15" fillId="0" borderId="19" xfId="0" applyFont="1" applyFill="1" applyBorder="1" applyAlignment="1" applyProtection="1">
      <alignment horizontal="right" vertical="center"/>
    </xf>
    <xf numFmtId="0" fontId="15" fillId="0" borderId="24" xfId="0" applyFont="1" applyFill="1" applyBorder="1" applyAlignment="1" applyProtection="1">
      <alignment horizontal="right" vertical="center"/>
    </xf>
    <xf numFmtId="0" fontId="7" fillId="13" borderId="48" xfId="0" applyFont="1" applyFill="1" applyBorder="1" applyAlignment="1" applyProtection="1">
      <alignment horizontal="center" vertical="center"/>
    </xf>
    <xf numFmtId="166" fontId="0" fillId="13" borderId="31" xfId="0" applyNumberFormat="1" applyFont="1" applyFill="1" applyBorder="1" applyAlignment="1" applyProtection="1">
      <alignment horizontal="center" vertical="center"/>
      <protection locked="0"/>
    </xf>
    <xf numFmtId="167" fontId="0" fillId="13" borderId="31" xfId="0" applyNumberFormat="1" applyFont="1" applyFill="1" applyBorder="1" applyAlignment="1" applyProtection="1">
      <alignment horizontal="center" vertical="center"/>
      <protection locked="0"/>
    </xf>
    <xf numFmtId="189" fontId="0" fillId="13" borderId="31" xfId="0" applyNumberFormat="1" applyFont="1" applyFill="1" applyBorder="1" applyAlignment="1" applyProtection="1">
      <alignment horizontal="center" vertical="center"/>
      <protection locked="0"/>
    </xf>
    <xf numFmtId="191" fontId="0" fillId="13" borderId="31" xfId="0" applyNumberFormat="1" applyFont="1" applyFill="1" applyBorder="1" applyAlignment="1" applyProtection="1">
      <alignment horizontal="center" vertical="center"/>
      <protection locked="0"/>
    </xf>
    <xf numFmtId="189" fontId="0" fillId="13" borderId="59" xfId="0" applyNumberFormat="1" applyFont="1" applyFill="1" applyBorder="1" applyAlignment="1" applyProtection="1">
      <alignment horizontal="center" vertical="center"/>
      <protection locked="0"/>
    </xf>
    <xf numFmtId="174" fontId="0" fillId="13" borderId="31" xfId="0" applyNumberFormat="1" applyFont="1" applyFill="1" applyBorder="1" applyAlignment="1" applyProtection="1">
      <alignment horizontal="center" vertical="center"/>
      <protection locked="0"/>
    </xf>
    <xf numFmtId="174" fontId="0" fillId="13" borderId="48" xfId="0" applyNumberFormat="1" applyFont="1" applyFill="1" applyBorder="1" applyAlignment="1" applyProtection="1">
      <alignment horizontal="center" vertical="center"/>
      <protection locked="0"/>
    </xf>
    <xf numFmtId="0" fontId="0" fillId="0" borderId="0" xfId="0" applyProtection="1"/>
    <xf numFmtId="170" fontId="0" fillId="0" borderId="0" xfId="0" applyNumberFormat="1" applyProtection="1"/>
    <xf numFmtId="0" fontId="22" fillId="0" borderId="0" xfId="0" applyFont="1" applyFill="1" applyAlignment="1" applyProtection="1">
      <alignment horizontal="center"/>
    </xf>
    <xf numFmtId="0" fontId="25" fillId="8" borderId="51" xfId="0" applyFont="1" applyFill="1" applyBorder="1" applyAlignment="1" applyProtection="1">
      <alignment vertical="center" wrapText="1"/>
    </xf>
    <xf numFmtId="1" fontId="24" fillId="10" borderId="44" xfId="0" applyNumberFormat="1" applyFont="1" applyFill="1" applyBorder="1" applyAlignment="1" applyProtection="1">
      <alignment horizontal="center" vertical="center" wrapText="1"/>
    </xf>
    <xf numFmtId="0" fontId="23" fillId="10" borderId="0" xfId="0" applyFont="1" applyFill="1" applyAlignment="1" applyProtection="1">
      <alignment horizontal="center" vertical="center" wrapText="1"/>
    </xf>
    <xf numFmtId="0" fontId="23" fillId="10" borderId="0" xfId="0" applyNumberFormat="1" applyFont="1" applyFill="1" applyAlignment="1" applyProtection="1">
      <alignment horizontal="center" vertical="center" wrapText="1"/>
    </xf>
    <xf numFmtId="0" fontId="1" fillId="9" borderId="46" xfId="0" applyFont="1" applyFill="1" applyBorder="1" applyAlignment="1" applyProtection="1">
      <alignment horizontal="center"/>
    </xf>
    <xf numFmtId="0" fontId="25" fillId="8" borderId="54" xfId="0" applyFont="1" applyFill="1" applyBorder="1" applyAlignment="1" applyProtection="1">
      <alignment vertical="center" wrapText="1"/>
    </xf>
    <xf numFmtId="0" fontId="13" fillId="0" borderId="0" xfId="0" applyFont="1" applyFill="1" applyBorder="1" applyAlignment="1" applyProtection="1">
      <alignment horizontal="center" vertical="top" wrapText="1"/>
    </xf>
    <xf numFmtId="0" fontId="0" fillId="0" borderId="0" xfId="0" applyBorder="1" applyProtection="1"/>
    <xf numFmtId="0" fontId="0" fillId="0" borderId="19" xfId="0" applyBorder="1" applyProtection="1"/>
    <xf numFmtId="11" fontId="0" fillId="0" borderId="40" xfId="0" applyNumberFormat="1" applyBorder="1" applyProtection="1"/>
    <xf numFmtId="0" fontId="0" fillId="0" borderId="42" xfId="0" applyBorder="1" applyProtection="1"/>
    <xf numFmtId="0" fontId="0" fillId="0" borderId="48" xfId="0" applyBorder="1" applyProtection="1"/>
    <xf numFmtId="172" fontId="0" fillId="0" borderId="40" xfId="0" applyNumberFormat="1" applyBorder="1" applyProtection="1"/>
    <xf numFmtId="0" fontId="0" fillId="9" borderId="47" xfId="0" applyFill="1" applyBorder="1" applyAlignment="1" applyProtection="1">
      <alignment horizontal="center"/>
    </xf>
    <xf numFmtId="11" fontId="0" fillId="0" borderId="19" xfId="0" applyNumberFormat="1" applyBorder="1" applyProtection="1"/>
    <xf numFmtId="0" fontId="1" fillId="0" borderId="2" xfId="0" applyFont="1" applyBorder="1" applyProtection="1"/>
    <xf numFmtId="0" fontId="1" fillId="0" borderId="47" xfId="0" applyFont="1" applyBorder="1" applyProtection="1"/>
    <xf numFmtId="0" fontId="0" fillId="0" borderId="33" xfId="0" applyBorder="1" applyProtection="1"/>
    <xf numFmtId="0" fontId="0" fillId="0" borderId="23" xfId="0" applyBorder="1" applyProtection="1"/>
    <xf numFmtId="0" fontId="22" fillId="11" borderId="60" xfId="0" applyFont="1" applyFill="1" applyBorder="1" applyAlignment="1" applyProtection="1">
      <alignment horizontal="center"/>
    </xf>
    <xf numFmtId="0" fontId="0" fillId="0" borderId="0" xfId="0" applyFill="1" applyBorder="1" applyProtection="1"/>
    <xf numFmtId="0" fontId="0" fillId="0" borderId="2" xfId="0" applyBorder="1" applyProtection="1"/>
    <xf numFmtId="0" fontId="0" fillId="0" borderId="47" xfId="0" applyBorder="1" applyProtection="1"/>
    <xf numFmtId="175" fontId="0" fillId="0" borderId="40" xfId="0" applyNumberFormat="1" applyBorder="1" applyProtection="1"/>
    <xf numFmtId="0" fontId="0" fillId="0" borderId="24" xfId="0" quotePrefix="1" applyBorder="1" applyProtection="1"/>
    <xf numFmtId="0" fontId="0" fillId="0" borderId="37" xfId="0" applyBorder="1" applyProtection="1"/>
    <xf numFmtId="0" fontId="29" fillId="0" borderId="0" xfId="0" applyNumberFormat="1" applyFont="1" applyBorder="1" applyAlignment="1" applyProtection="1">
      <alignment horizontal="center"/>
    </xf>
    <xf numFmtId="0" fontId="0" fillId="0" borderId="40" xfId="0" applyBorder="1" applyProtection="1"/>
    <xf numFmtId="0" fontId="0" fillId="0" borderId="19" xfId="0" applyFill="1" applyBorder="1" applyProtection="1"/>
    <xf numFmtId="11" fontId="0" fillId="0" borderId="40" xfId="0" applyNumberFormat="1" applyFill="1" applyBorder="1" applyProtection="1"/>
    <xf numFmtId="11" fontId="0" fillId="0" borderId="19" xfId="0" applyNumberFormat="1" applyFill="1" applyBorder="1" applyProtection="1"/>
    <xf numFmtId="183" fontId="0" fillId="0" borderId="40" xfId="0" applyNumberFormat="1" applyBorder="1" applyProtection="1"/>
    <xf numFmtId="0" fontId="0" fillId="0" borderId="42" xfId="0" applyFont="1" applyFill="1" applyBorder="1" applyAlignment="1" applyProtection="1">
      <alignment horizontal="left" vertical="center"/>
    </xf>
    <xf numFmtId="10" fontId="1" fillId="15" borderId="48" xfId="0" applyNumberFormat="1" applyFont="1" applyFill="1" applyBorder="1" applyAlignment="1" applyProtection="1">
      <alignment horizontal="center" vertical="center"/>
    </xf>
    <xf numFmtId="175" fontId="0" fillId="0" borderId="40" xfId="0" applyNumberFormat="1" applyBorder="1" applyAlignment="1" applyProtection="1"/>
    <xf numFmtId="0" fontId="0" fillId="0" borderId="5" xfId="0" applyFill="1" applyBorder="1" applyProtection="1"/>
    <xf numFmtId="175" fontId="0" fillId="0" borderId="37" xfId="0" applyNumberFormat="1" applyBorder="1" applyProtection="1"/>
    <xf numFmtId="0" fontId="25" fillId="8" borderId="56" xfId="0" applyFont="1" applyFill="1" applyBorder="1" applyAlignment="1" applyProtection="1">
      <alignment vertical="center" wrapText="1"/>
    </xf>
    <xf numFmtId="0" fontId="0" fillId="0" borderId="2" xfId="0" applyFont="1" applyFill="1" applyBorder="1" applyAlignment="1" applyProtection="1">
      <alignment horizontal="left" vertical="center"/>
    </xf>
    <xf numFmtId="169" fontId="1" fillId="15" borderId="47" xfId="0" applyNumberFormat="1" applyFont="1" applyFill="1" applyBorder="1" applyAlignment="1" applyProtection="1">
      <alignment horizontal="center" vertical="center"/>
    </xf>
    <xf numFmtId="0" fontId="0" fillId="0" borderId="0" xfId="0" applyBorder="1" applyAlignment="1" applyProtection="1">
      <alignment horizontal="center"/>
    </xf>
    <xf numFmtId="0" fontId="25" fillId="8" borderId="52" xfId="0" applyFont="1" applyFill="1" applyBorder="1" applyAlignment="1" applyProtection="1">
      <alignment vertical="center" wrapText="1"/>
    </xf>
    <xf numFmtId="0" fontId="29" fillId="0" borderId="0" xfId="0" applyFont="1" applyBorder="1" applyAlignment="1" applyProtection="1">
      <alignment horizontal="center"/>
    </xf>
    <xf numFmtId="10" fontId="1" fillId="15" borderId="47" xfId="0" applyNumberFormat="1" applyFont="1" applyFill="1" applyBorder="1" applyAlignment="1" applyProtection="1">
      <alignment horizontal="center" vertical="center"/>
    </xf>
    <xf numFmtId="0" fontId="0" fillId="0" borderId="24" xfId="0" applyFill="1" applyBorder="1" applyProtection="1"/>
    <xf numFmtId="11" fontId="0" fillId="0" borderId="37" xfId="0" applyNumberFormat="1" applyFill="1" applyBorder="1" applyProtection="1"/>
    <xf numFmtId="11" fontId="0" fillId="0" borderId="24" xfId="0" applyNumberFormat="1" applyFill="1" applyBorder="1" applyProtection="1"/>
    <xf numFmtId="10" fontId="13" fillId="0" borderId="40" xfId="0" applyNumberFormat="1" applyFont="1" applyFill="1" applyBorder="1" applyProtection="1"/>
    <xf numFmtId="175" fontId="0" fillId="0" borderId="0" xfId="0" applyNumberFormat="1" applyBorder="1" applyProtection="1"/>
    <xf numFmtId="0" fontId="25" fillId="8" borderId="50" xfId="0" applyFont="1" applyFill="1" applyBorder="1" applyAlignment="1" applyProtection="1">
      <alignment vertical="center" wrapText="1"/>
    </xf>
    <xf numFmtId="0" fontId="0" fillId="0" borderId="70" xfId="0" applyFont="1" applyFill="1" applyBorder="1" applyAlignment="1" applyProtection="1">
      <alignment horizontal="left" vertical="center" wrapText="1"/>
    </xf>
    <xf numFmtId="169" fontId="1" fillId="15" borderId="60" xfId="0" applyNumberFormat="1" applyFont="1" applyFill="1" applyBorder="1" applyAlignment="1" applyProtection="1">
      <alignment horizontal="center" vertical="center" wrapText="1"/>
    </xf>
    <xf numFmtId="0" fontId="0" fillId="0" borderId="0" xfId="0" applyFill="1" applyProtection="1"/>
    <xf numFmtId="0" fontId="0" fillId="0" borderId="24" xfId="0" applyBorder="1" applyProtection="1"/>
    <xf numFmtId="181" fontId="0" fillId="0" borderId="37" xfId="0" applyNumberFormat="1" applyBorder="1" applyProtection="1"/>
    <xf numFmtId="10" fontId="0" fillId="0" borderId="37" xfId="0" applyNumberFormat="1" applyFill="1" applyBorder="1" applyProtection="1"/>
    <xf numFmtId="0" fontId="0" fillId="0" borderId="33" xfId="0" applyFill="1" applyBorder="1" applyProtection="1"/>
    <xf numFmtId="0" fontId="25" fillId="8" borderId="57" xfId="0" applyFont="1" applyFill="1" applyBorder="1" applyAlignment="1" applyProtection="1">
      <alignment vertical="center" wrapText="1"/>
    </xf>
    <xf numFmtId="0" fontId="0" fillId="0" borderId="24" xfId="0" applyBorder="1" applyAlignment="1" applyProtection="1"/>
    <xf numFmtId="193" fontId="0" fillId="0" borderId="37" xfId="0" applyNumberFormat="1" applyBorder="1" applyProtection="1"/>
    <xf numFmtId="0" fontId="0" fillId="0" borderId="0" xfId="0" applyAlignment="1" applyProtection="1"/>
    <xf numFmtId="0" fontId="0" fillId="7" borderId="0" xfId="0" applyFill="1" applyProtection="1"/>
    <xf numFmtId="0" fontId="10" fillId="0" borderId="0" xfId="0" applyFont="1" applyProtection="1"/>
    <xf numFmtId="0" fontId="13" fillId="0" borderId="0" xfId="0" applyFont="1" applyAlignment="1" applyProtection="1">
      <alignment horizontal="left"/>
    </xf>
    <xf numFmtId="0" fontId="34" fillId="0" borderId="0" xfId="0" applyFont="1" applyAlignment="1" applyProtection="1">
      <alignment horizontal="left" indent="1"/>
    </xf>
    <xf numFmtId="0" fontId="1" fillId="9" borderId="33" xfId="0" applyFont="1" applyFill="1" applyBorder="1" applyAlignment="1" applyProtection="1">
      <alignment horizontal="center"/>
    </xf>
    <xf numFmtId="0" fontId="1" fillId="9" borderId="23" xfId="0" applyFont="1" applyFill="1" applyBorder="1" applyAlignment="1" applyProtection="1">
      <alignment horizontal="center"/>
    </xf>
    <xf numFmtId="0" fontId="23" fillId="10" borderId="44" xfId="0" applyFont="1" applyFill="1" applyBorder="1" applyAlignment="1" applyProtection="1">
      <alignment horizontal="center" vertical="center" wrapText="1"/>
    </xf>
    <xf numFmtId="1" fontId="23" fillId="10" borderId="44" xfId="0" applyNumberFormat="1" applyFont="1" applyFill="1" applyBorder="1" applyAlignment="1" applyProtection="1">
      <alignment horizontal="center" vertical="center" wrapText="1"/>
    </xf>
    <xf numFmtId="0" fontId="35" fillId="0" borderId="0" xfId="0" applyFont="1" applyAlignment="1" applyProtection="1">
      <alignment horizontal="left" indent="1"/>
    </xf>
    <xf numFmtId="0" fontId="0" fillId="0" borderId="0" xfId="0" quotePrefix="1" applyAlignment="1" applyProtection="1">
      <alignment horizontal="center"/>
    </xf>
    <xf numFmtId="0" fontId="0" fillId="0" borderId="2" xfId="0" applyFont="1" applyBorder="1" applyProtection="1"/>
    <xf numFmtId="0" fontId="0" fillId="0" borderId="47" xfId="0" applyFont="1" applyBorder="1" applyProtection="1"/>
    <xf numFmtId="0" fontId="0" fillId="7" borderId="67" xfId="0" applyFont="1" applyFill="1" applyBorder="1" applyAlignment="1" applyProtection="1">
      <alignment horizontal="left" vertical="center" indent="1"/>
    </xf>
    <xf numFmtId="196" fontId="0" fillId="5" borderId="41" xfId="0" applyNumberFormat="1" applyFont="1" applyFill="1" applyBorder="1" applyAlignment="1" applyProtection="1">
      <alignment horizontal="left" vertical="center" indent="1"/>
    </xf>
    <xf numFmtId="169" fontId="0" fillId="7" borderId="49" xfId="0" applyNumberFormat="1" applyFont="1" applyFill="1" applyBorder="1" applyAlignment="1" applyProtection="1">
      <alignment horizontal="center" vertical="center"/>
    </xf>
    <xf numFmtId="169" fontId="0" fillId="0" borderId="49" xfId="0" applyNumberFormat="1" applyFont="1" applyFill="1" applyBorder="1" applyAlignment="1" applyProtection="1">
      <alignment horizontal="center" vertical="center"/>
    </xf>
    <xf numFmtId="0" fontId="0" fillId="0" borderId="36" xfId="0" applyBorder="1" applyAlignment="1" applyProtection="1">
      <alignment horizontal="left" vertical="center"/>
    </xf>
    <xf numFmtId="0" fontId="0" fillId="0" borderId="0" xfId="0" applyBorder="1" applyAlignment="1" applyProtection="1">
      <alignment horizontal="left" vertical="center"/>
    </xf>
    <xf numFmtId="0" fontId="0" fillId="0" borderId="40" xfId="0" applyBorder="1" applyAlignment="1" applyProtection="1">
      <alignment horizontal="left" vertical="center"/>
    </xf>
    <xf numFmtId="0" fontId="33" fillId="10" borderId="44" xfId="0" applyFont="1" applyFill="1" applyBorder="1" applyAlignment="1" applyProtection="1">
      <alignment horizontal="center" vertical="center" wrapText="1"/>
    </xf>
    <xf numFmtId="1" fontId="33" fillId="10" borderId="44" xfId="0" applyNumberFormat="1" applyFont="1" applyFill="1" applyBorder="1" applyAlignment="1" applyProtection="1">
      <alignment horizontal="center" vertical="center" wrapText="1"/>
    </xf>
    <xf numFmtId="0" fontId="33" fillId="10" borderId="0" xfId="0" applyNumberFormat="1" applyFont="1" applyFill="1" applyAlignment="1" applyProtection="1">
      <alignment horizontal="center" vertical="center" wrapText="1"/>
    </xf>
    <xf numFmtId="0" fontId="1" fillId="12" borderId="15" xfId="0" applyFont="1" applyFill="1" applyBorder="1" applyAlignment="1" applyProtection="1">
      <alignment horizontal="left" vertical="center" indent="1"/>
    </xf>
    <xf numFmtId="0" fontId="0" fillId="12" borderId="3" xfId="0" applyFill="1" applyBorder="1" applyAlignment="1" applyProtection="1">
      <alignment horizontal="left" vertical="center" indent="1"/>
    </xf>
    <xf numFmtId="0" fontId="0" fillId="7" borderId="43" xfId="0" applyFont="1" applyFill="1" applyBorder="1" applyAlignment="1" applyProtection="1">
      <alignment horizontal="left" vertical="center" indent="1"/>
    </xf>
    <xf numFmtId="0" fontId="0" fillId="7" borderId="18" xfId="0" applyFont="1" applyFill="1" applyBorder="1" applyAlignment="1" applyProtection="1">
      <alignment horizontal="left" vertical="center" indent="1"/>
    </xf>
    <xf numFmtId="0" fontId="0" fillId="7" borderId="20" xfId="0" applyFont="1" applyFill="1" applyBorder="1" applyAlignment="1" applyProtection="1">
      <alignment horizontal="left" vertical="center" indent="1"/>
    </xf>
    <xf numFmtId="0" fontId="0" fillId="7" borderId="28" xfId="0" applyFont="1" applyFill="1" applyBorder="1" applyAlignment="1" applyProtection="1">
      <alignment horizontal="left" vertical="center" indent="1"/>
    </xf>
    <xf numFmtId="0" fontId="0" fillId="7" borderId="35" xfId="0" applyFont="1" applyFill="1" applyBorder="1" applyAlignment="1" applyProtection="1">
      <alignment horizontal="left" vertical="center" indent="1"/>
    </xf>
    <xf numFmtId="0" fontId="0" fillId="7" borderId="38" xfId="0" applyFont="1" applyFill="1" applyBorder="1" applyAlignment="1" applyProtection="1">
      <alignment horizontal="left" vertical="center" indent="1"/>
    </xf>
    <xf numFmtId="0" fontId="0" fillId="7" borderId="29" xfId="0" applyFont="1" applyFill="1" applyBorder="1" applyAlignment="1" applyProtection="1">
      <alignment horizontal="left" vertical="center" indent="1"/>
    </xf>
    <xf numFmtId="0" fontId="0" fillId="7" borderId="13" xfId="0" applyFont="1" applyFill="1" applyBorder="1" applyAlignment="1" applyProtection="1">
      <alignment horizontal="left" vertical="center" indent="1"/>
    </xf>
    <xf numFmtId="0" fontId="0" fillId="7" borderId="30" xfId="0" applyFont="1" applyFill="1" applyBorder="1" applyAlignment="1" applyProtection="1">
      <alignment horizontal="left" vertical="center" indent="1"/>
    </xf>
    <xf numFmtId="0" fontId="0" fillId="7" borderId="0" xfId="0" applyFont="1" applyFill="1" applyBorder="1" applyAlignment="1" applyProtection="1">
      <alignment horizontal="left" vertical="center" indent="1"/>
    </xf>
    <xf numFmtId="0" fontId="0" fillId="0" borderId="0" xfId="0" applyBorder="1" applyAlignment="1" applyProtection="1">
      <alignment horizontal="left"/>
    </xf>
    <xf numFmtId="0" fontId="0" fillId="7" borderId="42" xfId="0" applyFill="1" applyBorder="1" applyAlignment="1" applyProtection="1">
      <alignment horizontal="left" vertical="center" wrapText="1"/>
    </xf>
    <xf numFmtId="1" fontId="1" fillId="15" borderId="48" xfId="0" applyNumberFormat="1" applyFont="1" applyFill="1" applyBorder="1" applyAlignment="1" applyProtection="1">
      <alignment horizontal="center" vertical="center"/>
    </xf>
    <xf numFmtId="0" fontId="0" fillId="7" borderId="2" xfId="0" applyFill="1" applyBorder="1" applyAlignment="1" applyProtection="1">
      <alignment horizontal="left" vertical="center" wrapText="1"/>
    </xf>
    <xf numFmtId="166" fontId="1" fillId="15" borderId="47" xfId="0" applyNumberFormat="1" applyFont="1" applyFill="1" applyBorder="1" applyAlignment="1" applyProtection="1">
      <alignment horizontal="center" vertical="center" wrapText="1"/>
    </xf>
    <xf numFmtId="1" fontId="1" fillId="15" borderId="47" xfId="0" applyNumberFormat="1" applyFont="1" applyFill="1" applyBorder="1" applyAlignment="1" applyProtection="1">
      <alignment horizontal="center" vertical="center"/>
    </xf>
    <xf numFmtId="10" fontId="1" fillId="15" borderId="47" xfId="0" applyNumberFormat="1" applyFont="1" applyFill="1" applyBorder="1" applyAlignment="1" applyProtection="1">
      <alignment horizontal="center" vertical="center" wrapText="1"/>
    </xf>
    <xf numFmtId="0" fontId="0" fillId="7" borderId="70" xfId="0" applyFill="1" applyBorder="1" applyAlignment="1" applyProtection="1">
      <alignment horizontal="left" vertical="center" wrapText="1"/>
    </xf>
    <xf numFmtId="166" fontId="1" fillId="15" borderId="60" xfId="0" applyNumberFormat="1" applyFont="1" applyFill="1" applyBorder="1" applyAlignment="1" applyProtection="1">
      <alignment horizontal="center" vertical="center"/>
    </xf>
    <xf numFmtId="183" fontId="0" fillId="6" borderId="40" xfId="0" applyNumberFormat="1" applyFill="1" applyBorder="1" applyProtection="1"/>
    <xf numFmtId="0" fontId="0" fillId="0" borderId="0" xfId="0" applyFont="1" applyFill="1" applyBorder="1" applyProtection="1"/>
    <xf numFmtId="191" fontId="0" fillId="13" borderId="32" xfId="0" applyNumberFormat="1" applyFont="1" applyFill="1" applyBorder="1" applyAlignment="1" applyProtection="1">
      <alignment horizontal="center" vertical="center"/>
      <protection locked="0"/>
    </xf>
    <xf numFmtId="0" fontId="0" fillId="0" borderId="0" xfId="0" quotePrefix="1" applyProtection="1"/>
    <xf numFmtId="0" fontId="0" fillId="7" borderId="0" xfId="0" applyFill="1" applyBorder="1" applyAlignment="1" applyProtection="1">
      <alignment horizontal="left" vertical="center" wrapText="1"/>
    </xf>
    <xf numFmtId="1" fontId="1" fillId="7" borderId="0" xfId="0" applyNumberFormat="1" applyFont="1" applyFill="1" applyBorder="1" applyAlignment="1" applyProtection="1">
      <alignment horizontal="center" vertical="center"/>
    </xf>
    <xf numFmtId="0" fontId="0" fillId="7" borderId="0" xfId="0" applyFill="1" applyBorder="1" applyProtection="1"/>
    <xf numFmtId="10" fontId="1" fillId="7" borderId="0" xfId="0" applyNumberFormat="1" applyFont="1" applyFill="1" applyBorder="1" applyAlignment="1" applyProtection="1">
      <alignment horizontal="center" vertical="center" wrapText="1"/>
    </xf>
    <xf numFmtId="183" fontId="0" fillId="6" borderId="37" xfId="0" applyNumberFormat="1" applyFill="1" applyBorder="1" applyProtection="1"/>
    <xf numFmtId="166" fontId="1" fillId="7" borderId="0" xfId="0" applyNumberFormat="1" applyFont="1" applyFill="1" applyBorder="1" applyAlignment="1" applyProtection="1">
      <alignment horizontal="center" vertical="center"/>
    </xf>
    <xf numFmtId="0" fontId="0" fillId="12" borderId="33" xfId="0" applyFont="1" applyFill="1" applyBorder="1" applyAlignment="1" applyProtection="1">
      <alignment horizontal="left" vertical="center" indent="1"/>
    </xf>
    <xf numFmtId="1" fontId="0" fillId="5" borderId="65" xfId="0" applyNumberFormat="1" applyFont="1" applyFill="1" applyBorder="1" applyAlignment="1" applyProtection="1">
      <alignment horizontal="center" vertical="center"/>
    </xf>
    <xf numFmtId="0" fontId="0" fillId="12" borderId="33" xfId="0" applyFont="1" applyFill="1" applyBorder="1" applyAlignment="1" applyProtection="1">
      <alignment horizontal="center" vertical="center"/>
    </xf>
    <xf numFmtId="1" fontId="0" fillId="5" borderId="23" xfId="0" applyNumberFormat="1" applyFont="1" applyFill="1" applyBorder="1" applyAlignment="1" applyProtection="1">
      <alignment horizontal="center" vertical="center"/>
    </xf>
    <xf numFmtId="0" fontId="0" fillId="12" borderId="19" xfId="0" applyFont="1" applyFill="1" applyBorder="1" applyAlignment="1" applyProtection="1">
      <alignment horizontal="left" vertical="center" indent="1"/>
    </xf>
    <xf numFmtId="1" fontId="0" fillId="5" borderId="36" xfId="0" applyNumberFormat="1" applyFont="1" applyFill="1" applyBorder="1" applyAlignment="1" applyProtection="1">
      <alignment horizontal="center" vertical="center"/>
    </xf>
    <xf numFmtId="0" fontId="0" fillId="12" borderId="19" xfId="0" applyFont="1" applyFill="1" applyBorder="1" applyAlignment="1" applyProtection="1">
      <alignment horizontal="center" vertical="center"/>
    </xf>
    <xf numFmtId="1" fontId="0" fillId="5" borderId="40" xfId="0" applyNumberFormat="1" applyFont="1" applyFill="1" applyBorder="1" applyAlignment="1" applyProtection="1">
      <alignment horizontal="center" vertical="center"/>
    </xf>
    <xf numFmtId="194" fontId="0" fillId="0" borderId="40" xfId="3" applyNumberFormat="1" applyFont="1" applyBorder="1" applyProtection="1"/>
    <xf numFmtId="194" fontId="0" fillId="0" borderId="40" xfId="0" applyNumberFormat="1" applyBorder="1" applyProtection="1"/>
    <xf numFmtId="0" fontId="0" fillId="12" borderId="43" xfId="0" applyFont="1" applyFill="1" applyBorder="1" applyAlignment="1" applyProtection="1">
      <alignment horizontal="center" vertical="center"/>
    </xf>
    <xf numFmtId="194" fontId="0" fillId="6" borderId="40" xfId="0" applyNumberFormat="1" applyFill="1" applyBorder="1" applyProtection="1"/>
    <xf numFmtId="1" fontId="0" fillId="5" borderId="31" xfId="0" applyNumberFormat="1" applyFont="1" applyFill="1" applyBorder="1" applyAlignment="1" applyProtection="1">
      <alignment horizontal="center" vertical="center"/>
    </xf>
    <xf numFmtId="1" fontId="0" fillId="5" borderId="48" xfId="0" applyNumberFormat="1" applyFont="1" applyFill="1" applyBorder="1" applyAlignment="1" applyProtection="1">
      <alignment horizontal="center" vertical="center"/>
    </xf>
    <xf numFmtId="0" fontId="0" fillId="12" borderId="24" xfId="0" applyFont="1" applyFill="1" applyBorder="1" applyAlignment="1" applyProtection="1">
      <alignment horizontal="left" vertical="center" indent="1"/>
    </xf>
    <xf numFmtId="1" fontId="0" fillId="5" borderId="45" xfId="0" applyNumberFormat="1" applyFont="1" applyFill="1" applyBorder="1" applyAlignment="1" applyProtection="1">
      <alignment horizontal="center" vertical="center"/>
    </xf>
    <xf numFmtId="0" fontId="0" fillId="12" borderId="29" xfId="0" applyFont="1" applyFill="1" applyBorder="1" applyAlignment="1" applyProtection="1">
      <alignment horizontal="center" vertical="center"/>
    </xf>
    <xf numFmtId="0" fontId="0" fillId="12" borderId="37" xfId="0" applyFont="1" applyFill="1" applyBorder="1" applyAlignment="1" applyProtection="1">
      <alignment horizontal="center" vertical="center"/>
    </xf>
    <xf numFmtId="1" fontId="0" fillId="5" borderId="37" xfId="0" applyNumberFormat="1" applyFont="1" applyFill="1" applyBorder="1" applyAlignment="1" applyProtection="1">
      <alignment horizontal="center" vertical="center"/>
    </xf>
    <xf numFmtId="0" fontId="1" fillId="12" borderId="3" xfId="0" applyFont="1" applyFill="1" applyBorder="1" applyAlignment="1" applyProtection="1">
      <alignment horizontal="left" vertical="center" indent="1"/>
    </xf>
    <xf numFmtId="0" fontId="1" fillId="12" borderId="73" xfId="0" applyFont="1" applyFill="1" applyBorder="1" applyAlignment="1" applyProtection="1">
      <alignment horizontal="center" vertical="center"/>
    </xf>
    <xf numFmtId="0" fontId="1" fillId="12" borderId="72" xfId="0" applyFont="1" applyFill="1" applyBorder="1" applyAlignment="1" applyProtection="1">
      <alignment horizontal="center" vertical="center"/>
    </xf>
    <xf numFmtId="2" fontId="13" fillId="12" borderId="33" xfId="0" applyNumberFormat="1" applyFont="1" applyFill="1" applyBorder="1" applyAlignment="1" applyProtection="1">
      <alignment horizontal="left" vertical="center" indent="1"/>
    </xf>
    <xf numFmtId="2" fontId="13" fillId="12" borderId="22" xfId="0" applyNumberFormat="1" applyFont="1" applyFill="1" applyBorder="1" applyAlignment="1" applyProtection="1">
      <alignment horizontal="left" vertical="center" indent="1"/>
    </xf>
    <xf numFmtId="192" fontId="0" fillId="4" borderId="59" xfId="0" applyNumberFormat="1" applyFill="1" applyBorder="1" applyAlignment="1" applyProtection="1">
      <alignment horizontal="center" vertical="center"/>
    </xf>
    <xf numFmtId="194" fontId="0" fillId="6" borderId="37" xfId="0" applyNumberFormat="1" applyFill="1" applyBorder="1" applyProtection="1"/>
    <xf numFmtId="2" fontId="13" fillId="12" borderId="19" xfId="0" applyNumberFormat="1" applyFont="1" applyFill="1" applyBorder="1" applyAlignment="1" applyProtection="1">
      <alignment horizontal="left" vertical="center" indent="1"/>
    </xf>
    <xf numFmtId="2" fontId="13" fillId="12" borderId="0" xfId="0" applyNumberFormat="1" applyFont="1" applyFill="1" applyBorder="1" applyAlignment="1" applyProtection="1">
      <alignment horizontal="left" vertical="center" indent="1"/>
    </xf>
    <xf numFmtId="1" fontId="0" fillId="4" borderId="49" xfId="0" applyNumberFormat="1" applyFill="1" applyBorder="1" applyAlignment="1" applyProtection="1">
      <alignment horizontal="center" vertical="center"/>
    </xf>
    <xf numFmtId="192" fontId="0" fillId="4" borderId="31" xfId="0" applyNumberFormat="1" applyFill="1" applyBorder="1" applyAlignment="1" applyProtection="1">
      <alignment horizontal="center" vertical="center"/>
    </xf>
    <xf numFmtId="2" fontId="13" fillId="12" borderId="43" xfId="0" applyNumberFormat="1" applyFont="1" applyFill="1" applyBorder="1" applyAlignment="1" applyProtection="1">
      <alignment horizontal="left" vertical="center" indent="1"/>
    </xf>
    <xf numFmtId="2" fontId="13" fillId="12" borderId="18" xfId="0" applyNumberFormat="1" applyFont="1" applyFill="1" applyBorder="1" applyAlignment="1" applyProtection="1">
      <alignment horizontal="left" vertical="center" indent="1"/>
    </xf>
    <xf numFmtId="192" fontId="0" fillId="4" borderId="48" xfId="0" applyNumberFormat="1" applyFill="1" applyBorder="1" applyAlignment="1" applyProtection="1">
      <alignment horizontal="center" vertical="center"/>
    </xf>
    <xf numFmtId="0" fontId="0" fillId="0" borderId="0" xfId="0" applyBorder="1" applyAlignment="1" applyProtection="1">
      <alignment vertical="center"/>
    </xf>
    <xf numFmtId="166" fontId="0" fillId="4" borderId="0" xfId="0" applyNumberFormat="1" applyFill="1" applyBorder="1" applyAlignment="1" applyProtection="1">
      <alignment horizontal="center" vertical="center"/>
    </xf>
    <xf numFmtId="2" fontId="13" fillId="12" borderId="24" xfId="0" applyNumberFormat="1" applyFont="1" applyFill="1" applyBorder="1" applyAlignment="1" applyProtection="1">
      <alignment horizontal="left" vertical="center" indent="1"/>
    </xf>
    <xf numFmtId="2" fontId="13" fillId="12" borderId="5" xfId="0" applyNumberFormat="1" applyFont="1" applyFill="1" applyBorder="1" applyAlignment="1" applyProtection="1">
      <alignment horizontal="left" vertical="center" indent="1"/>
    </xf>
    <xf numFmtId="1" fontId="0" fillId="4" borderId="16" xfId="0" applyNumberFormat="1" applyFill="1" applyBorder="1" applyAlignment="1" applyProtection="1">
      <alignment horizontal="center" vertical="center"/>
    </xf>
    <xf numFmtId="192" fontId="0" fillId="4" borderId="32" xfId="0" applyNumberFormat="1" applyFill="1" applyBorder="1" applyAlignment="1" applyProtection="1">
      <alignment horizontal="center" vertical="center"/>
    </xf>
    <xf numFmtId="194" fontId="0" fillId="0" borderId="37" xfId="0" applyNumberFormat="1" applyBorder="1" applyProtection="1"/>
    <xf numFmtId="1" fontId="0" fillId="7" borderId="0" xfId="0" applyNumberFormat="1" applyFill="1" applyBorder="1" applyProtection="1"/>
    <xf numFmtId="1" fontId="0" fillId="7" borderId="0" xfId="0" applyNumberFormat="1" applyFont="1" applyFill="1" applyBorder="1" applyProtection="1"/>
    <xf numFmtId="2" fontId="1" fillId="7" borderId="0" xfId="0" applyNumberFormat="1" applyFont="1" applyFill="1" applyBorder="1" applyProtection="1"/>
    <xf numFmtId="0" fontId="25" fillId="8" borderId="53" xfId="0" applyFont="1" applyFill="1" applyBorder="1" applyAlignment="1" applyProtection="1">
      <alignment vertical="center" wrapText="1"/>
    </xf>
    <xf numFmtId="0" fontId="25" fillId="8" borderId="55" xfId="0" applyFont="1" applyFill="1" applyBorder="1" applyAlignment="1" applyProtection="1">
      <alignment vertical="center" wrapText="1"/>
    </xf>
    <xf numFmtId="0" fontId="25" fillId="8" borderId="58" xfId="0" applyFont="1" applyFill="1" applyBorder="1" applyAlignment="1" applyProtection="1">
      <alignment vertical="center" wrapText="1"/>
    </xf>
    <xf numFmtId="10" fontId="0" fillId="4" borderId="0" xfId="3" applyNumberFormat="1" applyFont="1" applyFill="1" applyBorder="1" applyAlignment="1" applyProtection="1">
      <alignment horizontal="center" vertical="center"/>
    </xf>
    <xf numFmtId="166" fontId="13" fillId="5" borderId="59" xfId="0" applyNumberFormat="1" applyFont="1" applyFill="1" applyBorder="1" applyAlignment="1" applyProtection="1">
      <alignment horizontal="center" vertical="center"/>
    </xf>
    <xf numFmtId="169" fontId="13" fillId="5" borderId="48" xfId="0" applyNumberFormat="1" applyFont="1" applyFill="1" applyBorder="1" applyAlignment="1" applyProtection="1">
      <alignment horizontal="center" vertical="center"/>
    </xf>
    <xf numFmtId="1" fontId="1" fillId="4" borderId="71" xfId="0" applyNumberFormat="1" applyFont="1" applyFill="1" applyBorder="1" applyAlignment="1" applyProtection="1">
      <alignment horizontal="center" vertical="center"/>
    </xf>
    <xf numFmtId="1" fontId="0" fillId="4" borderId="49" xfId="0" applyNumberFormat="1" applyFont="1" applyFill="1" applyBorder="1" applyAlignment="1" applyProtection="1">
      <alignment horizontal="center" vertical="center"/>
    </xf>
    <xf numFmtId="1" fontId="0" fillId="4" borderId="68" xfId="0" applyNumberFormat="1" applyFont="1" applyFill="1" applyBorder="1" applyAlignment="1" applyProtection="1">
      <alignment horizontal="center" vertical="center"/>
    </xf>
    <xf numFmtId="0" fontId="0" fillId="0" borderId="0" xfId="0" applyFont="1" applyBorder="1" applyAlignment="1" applyProtection="1">
      <alignment vertical="center"/>
    </xf>
    <xf numFmtId="166" fontId="0" fillId="4" borderId="36" xfId="0" applyNumberFormat="1" applyFont="1" applyFill="1" applyBorder="1" applyAlignment="1" applyProtection="1">
      <alignment horizontal="center" vertical="center"/>
    </xf>
    <xf numFmtId="0" fontId="0" fillId="0" borderId="25" xfId="0" applyFont="1" applyBorder="1" applyAlignment="1" applyProtection="1">
      <alignment vertical="center"/>
    </xf>
    <xf numFmtId="1" fontId="1" fillId="4" borderId="49" xfId="0" applyNumberFormat="1" applyFont="1" applyFill="1" applyBorder="1" applyAlignment="1" applyProtection="1">
      <alignment horizontal="center" vertical="center"/>
    </xf>
    <xf numFmtId="0" fontId="0" fillId="0" borderId="0" xfId="0" applyProtection="1">
      <protection hidden="1"/>
    </xf>
    <xf numFmtId="0" fontId="1" fillId="0" borderId="0" xfId="0" applyFont="1" applyFill="1" applyAlignment="1" applyProtection="1">
      <alignment horizontal="right"/>
      <protection hidden="1"/>
    </xf>
    <xf numFmtId="0" fontId="0" fillId="0" borderId="0" xfId="0" applyFill="1" applyProtection="1">
      <protection hidden="1"/>
    </xf>
    <xf numFmtId="0" fontId="39" fillId="0" borderId="0" xfId="0" applyFont="1" applyFill="1" applyProtection="1">
      <protection hidden="1"/>
    </xf>
    <xf numFmtId="0" fontId="34" fillId="0" borderId="0" xfId="0" applyFont="1" applyFill="1" applyProtection="1">
      <protection hidden="1"/>
    </xf>
    <xf numFmtId="0" fontId="3" fillId="0" borderId="0" xfId="0" applyFont="1" applyFill="1" applyBorder="1" applyAlignment="1" applyProtection="1">
      <protection hidden="1"/>
    </xf>
    <xf numFmtId="0" fontId="0" fillId="0" borderId="0" xfId="0" applyFill="1" applyBorder="1" applyProtection="1">
      <protection hidden="1"/>
    </xf>
    <xf numFmtId="0" fontId="3" fillId="0" borderId="0" xfId="0" applyFont="1" applyFill="1" applyBorder="1" applyAlignment="1" applyProtection="1">
      <alignment horizontal="right"/>
      <protection hidden="1"/>
    </xf>
    <xf numFmtId="0" fontId="1" fillId="0" borderId="0" xfId="0" applyFont="1" applyFill="1" applyBorder="1" applyProtection="1">
      <protection hidden="1"/>
    </xf>
    <xf numFmtId="0" fontId="0" fillId="0" borderId="0" xfId="0" applyFont="1" applyFill="1" applyBorder="1" applyProtection="1">
      <protection hidden="1"/>
    </xf>
    <xf numFmtId="0" fontId="1" fillId="0" borderId="0" xfId="0" applyFont="1" applyFill="1" applyBorder="1" applyAlignment="1" applyProtection="1">
      <alignment horizontal="right"/>
      <protection hidden="1"/>
    </xf>
    <xf numFmtId="0" fontId="17" fillId="0" borderId="6" xfId="1" applyFont="1" applyFill="1" applyBorder="1" applyAlignment="1" applyProtection="1">
      <alignment horizontal="left" indent="1"/>
      <protection hidden="1"/>
    </xf>
    <xf numFmtId="0" fontId="17" fillId="0" borderId="35" xfId="1" applyFont="1" applyFill="1" applyBorder="1" applyAlignment="1" applyProtection="1">
      <alignment horizontal="left" indent="1"/>
      <protection hidden="1"/>
    </xf>
    <xf numFmtId="0" fontId="17" fillId="0" borderId="38" xfId="1" applyFont="1" applyFill="1" applyBorder="1" applyAlignment="1" applyProtection="1">
      <protection hidden="1"/>
    </xf>
    <xf numFmtId="0" fontId="0" fillId="0" borderId="35" xfId="0" applyFont="1" applyFill="1" applyBorder="1" applyAlignment="1" applyProtection="1">
      <alignment horizontal="left" indent="1"/>
      <protection hidden="1"/>
    </xf>
    <xf numFmtId="0" fontId="6" fillId="0" borderId="35" xfId="0" applyFont="1" applyFill="1" applyBorder="1" applyAlignment="1" applyProtection="1">
      <protection hidden="1"/>
    </xf>
    <xf numFmtId="0" fontId="6" fillId="0" borderId="38" xfId="0" applyFont="1" applyFill="1" applyBorder="1" applyAlignment="1" applyProtection="1">
      <protection hidden="1"/>
    </xf>
    <xf numFmtId="0" fontId="6" fillId="0" borderId="0" xfId="0" applyFont="1" applyFill="1" applyBorder="1" applyAlignment="1" applyProtection="1">
      <protection hidden="1"/>
    </xf>
    <xf numFmtId="0" fontId="35" fillId="0" borderId="0" xfId="0" applyFont="1" applyFill="1" applyBorder="1" applyAlignment="1" applyProtection="1">
      <alignment vertical="center" wrapText="1"/>
      <protection hidden="1"/>
    </xf>
    <xf numFmtId="0" fontId="17" fillId="0" borderId="36" xfId="0" applyFont="1" applyFill="1" applyBorder="1" applyAlignment="1" applyProtection="1">
      <alignment horizontal="left" indent="1"/>
      <protection hidden="1"/>
    </xf>
    <xf numFmtId="0" fontId="17" fillId="0" borderId="0" xfId="0" applyFont="1" applyFill="1" applyBorder="1" applyAlignment="1" applyProtection="1">
      <alignment horizontal="left" indent="1"/>
      <protection hidden="1"/>
    </xf>
    <xf numFmtId="0" fontId="17" fillId="0" borderId="25" xfId="0" applyFont="1" applyFill="1" applyBorder="1" applyAlignment="1" applyProtection="1">
      <protection hidden="1"/>
    </xf>
    <xf numFmtId="0" fontId="0" fillId="0" borderId="0" xfId="0" applyFont="1" applyFill="1" applyBorder="1" applyAlignment="1" applyProtection="1">
      <alignment horizontal="left" indent="1"/>
      <protection hidden="1"/>
    </xf>
    <xf numFmtId="0" fontId="6" fillId="0" borderId="0" xfId="0" applyFont="1" applyFill="1" applyBorder="1" applyProtection="1">
      <protection hidden="1"/>
    </xf>
    <xf numFmtId="0" fontId="6" fillId="0" borderId="25" xfId="0" applyFont="1" applyFill="1" applyBorder="1" applyProtection="1">
      <protection hidden="1"/>
    </xf>
    <xf numFmtId="0" fontId="0" fillId="0" borderId="6" xfId="1" applyFont="1" applyFill="1" applyBorder="1" applyAlignment="1" applyProtection="1">
      <alignment horizontal="left" indent="1"/>
      <protection hidden="1"/>
    </xf>
    <xf numFmtId="0" fontId="0" fillId="0" borderId="6" xfId="0" applyFont="1" applyFill="1" applyBorder="1" applyAlignment="1" applyProtection="1">
      <alignment horizontal="left" vertical="center" indent="1"/>
      <protection hidden="1"/>
    </xf>
    <xf numFmtId="0" fontId="0" fillId="0" borderId="38" xfId="0" applyFont="1" applyFill="1" applyBorder="1" applyAlignment="1" applyProtection="1">
      <alignment horizontal="left" vertical="center" indent="1"/>
      <protection hidden="1"/>
    </xf>
    <xf numFmtId="0" fontId="0" fillId="0" borderId="6" xfId="0" applyBorder="1" applyAlignment="1" applyProtection="1">
      <alignment horizontal="left" vertical="center" indent="1"/>
      <protection hidden="1"/>
    </xf>
    <xf numFmtId="0" fontId="0" fillId="0" borderId="35" xfId="0" applyBorder="1" applyAlignment="1" applyProtection="1">
      <alignment horizontal="left" vertical="center" indent="1"/>
      <protection hidden="1"/>
    </xf>
    <xf numFmtId="0" fontId="6" fillId="0" borderId="35" xfId="0" applyFont="1" applyFill="1" applyBorder="1" applyAlignment="1" applyProtection="1">
      <alignment horizontal="left" vertical="center" indent="1"/>
      <protection hidden="1"/>
    </xf>
    <xf numFmtId="0" fontId="6" fillId="0" borderId="38" xfId="0" applyFont="1" applyFill="1" applyBorder="1" applyAlignment="1" applyProtection="1">
      <alignment horizontal="left" vertical="center" indent="1"/>
      <protection hidden="1"/>
    </xf>
    <xf numFmtId="0" fontId="0" fillId="0" borderId="6" xfId="0" applyFont="1" applyFill="1" applyBorder="1" applyAlignment="1" applyProtection="1">
      <alignment horizontal="left" indent="1"/>
      <protection hidden="1"/>
    </xf>
    <xf numFmtId="0" fontId="17" fillId="0" borderId="35" xfId="0" applyFont="1" applyFill="1" applyBorder="1" applyAlignment="1" applyProtection="1">
      <alignment horizontal="left" indent="1"/>
      <protection hidden="1"/>
    </xf>
    <xf numFmtId="0" fontId="17" fillId="0" borderId="38" xfId="0" applyFont="1" applyFill="1" applyBorder="1" applyAlignment="1" applyProtection="1">
      <protection hidden="1"/>
    </xf>
    <xf numFmtId="0" fontId="6" fillId="0" borderId="35" xfId="0" applyFont="1" applyFill="1" applyBorder="1" applyProtection="1">
      <protection hidden="1"/>
    </xf>
    <xf numFmtId="0" fontId="6" fillId="0" borderId="38" xfId="0" applyFont="1" applyFill="1" applyBorder="1" applyProtection="1">
      <protection hidden="1"/>
    </xf>
    <xf numFmtId="0" fontId="0" fillId="0" borderId="36" xfId="0" applyFont="1" applyFill="1" applyBorder="1" applyAlignment="1" applyProtection="1">
      <alignment horizontal="left" indent="1"/>
      <protection hidden="1"/>
    </xf>
    <xf numFmtId="0" fontId="17" fillId="0" borderId="6" xfId="1" quotePrefix="1" applyFont="1" applyFill="1" applyBorder="1" applyAlignment="1" applyProtection="1">
      <alignment horizontal="left" indent="1"/>
      <protection hidden="1"/>
    </xf>
    <xf numFmtId="0" fontId="17" fillId="0" borderId="66" xfId="0" applyFont="1" applyFill="1" applyBorder="1" applyAlignment="1" applyProtection="1">
      <alignment horizontal="left" indent="1"/>
      <protection hidden="1"/>
    </xf>
    <xf numFmtId="0" fontId="17" fillId="0" borderId="18" xfId="0" applyFont="1" applyFill="1" applyBorder="1" applyAlignment="1" applyProtection="1">
      <alignment horizontal="left" indent="1"/>
      <protection hidden="1"/>
    </xf>
    <xf numFmtId="0" fontId="17" fillId="0" borderId="20" xfId="0" applyFont="1" applyFill="1" applyBorder="1" applyAlignment="1" applyProtection="1">
      <protection hidden="1"/>
    </xf>
    <xf numFmtId="0" fontId="0" fillId="0" borderId="18" xfId="0" applyFont="1" applyFill="1" applyBorder="1" applyAlignment="1" applyProtection="1">
      <alignment horizontal="left" indent="1"/>
      <protection hidden="1"/>
    </xf>
    <xf numFmtId="0" fontId="0" fillId="0" borderId="18" xfId="0" applyFont="1" applyFill="1" applyBorder="1" applyProtection="1">
      <protection hidden="1"/>
    </xf>
    <xf numFmtId="0" fontId="17" fillId="0" borderId="6" xfId="0" applyFont="1" applyFill="1" applyBorder="1" applyAlignment="1" applyProtection="1">
      <alignment horizontal="left" indent="1"/>
      <protection hidden="1"/>
    </xf>
    <xf numFmtId="0" fontId="0" fillId="0" borderId="35" xfId="0" applyFill="1" applyBorder="1" applyProtection="1">
      <protection hidden="1"/>
    </xf>
    <xf numFmtId="0" fontId="0" fillId="0" borderId="38" xfId="0" applyFill="1" applyBorder="1" applyProtection="1">
      <protection hidden="1"/>
    </xf>
    <xf numFmtId="0" fontId="0" fillId="0" borderId="0" xfId="0" applyFont="1" applyBorder="1" applyProtection="1">
      <protection hidden="1"/>
    </xf>
    <xf numFmtId="0" fontId="0" fillId="0" borderId="0" xfId="0" applyBorder="1" applyProtection="1">
      <protection hidden="1"/>
    </xf>
    <xf numFmtId="0" fontId="6" fillId="0" borderId="0" xfId="0" applyFont="1" applyFill="1" applyBorder="1" applyAlignment="1" applyProtection="1">
      <alignment wrapText="1"/>
      <protection hidden="1"/>
    </xf>
    <xf numFmtId="0" fontId="3" fillId="0" borderId="0" xfId="0" applyFont="1" applyFill="1" applyBorder="1" applyAlignment="1" applyProtection="1">
      <alignment horizontal="right" wrapText="1"/>
      <protection hidden="1"/>
    </xf>
    <xf numFmtId="0" fontId="6" fillId="0" borderId="0" xfId="0" applyFont="1" applyFill="1" applyAlignment="1" applyProtection="1">
      <alignment wrapText="1"/>
      <protection hidden="1"/>
    </xf>
    <xf numFmtId="0" fontId="1" fillId="0" borderId="0" xfId="0" applyFont="1" applyFill="1" applyBorder="1" applyAlignment="1" applyProtection="1">
      <protection hidden="1"/>
    </xf>
    <xf numFmtId="0" fontId="6" fillId="0" borderId="0" xfId="0" applyFont="1" applyBorder="1" applyProtection="1">
      <protection hidden="1"/>
    </xf>
    <xf numFmtId="0" fontId="0" fillId="0" borderId="0" xfId="0" applyFont="1" applyFill="1" applyBorder="1" applyAlignment="1" applyProtection="1">
      <alignment horizontal="left"/>
      <protection hidden="1"/>
    </xf>
    <xf numFmtId="0" fontId="0" fillId="0" borderId="18" xfId="0" applyFont="1" applyFill="1" applyBorder="1" applyAlignment="1" applyProtection="1">
      <alignment horizontal="left" vertical="center" indent="1"/>
      <protection hidden="1"/>
    </xf>
    <xf numFmtId="0" fontId="6" fillId="0" borderId="0" xfId="0" applyFont="1" applyFill="1" applyAlignment="1" applyProtection="1">
      <protection hidden="1"/>
    </xf>
    <xf numFmtId="0" fontId="1" fillId="0" borderId="0" xfId="0" applyFont="1" applyAlignment="1" applyProtection="1">
      <alignment horizontal="right"/>
      <protection hidden="1"/>
    </xf>
    <xf numFmtId="0" fontId="35" fillId="0" borderId="0" xfId="0" applyFont="1" applyBorder="1" applyAlignment="1" applyProtection="1">
      <alignment horizontal="center" vertical="center" wrapText="1"/>
      <protection hidden="1"/>
    </xf>
    <xf numFmtId="0" fontId="0" fillId="0" borderId="0" xfId="0" applyFont="1" applyBorder="1" applyAlignment="1" applyProtection="1">
      <alignment horizontal="left" vertical="center" indent="1"/>
      <protection hidden="1"/>
    </xf>
    <xf numFmtId="0" fontId="0" fillId="0" borderId="25" xfId="0" applyFont="1" applyBorder="1" applyAlignment="1" applyProtection="1">
      <alignment horizontal="left" vertical="center" indent="1"/>
      <protection hidden="1"/>
    </xf>
    <xf numFmtId="0" fontId="0" fillId="0" borderId="35" xfId="0" applyFont="1" applyBorder="1" applyAlignment="1" applyProtection="1">
      <alignment horizontal="left" vertical="center" indent="1"/>
      <protection hidden="1"/>
    </xf>
    <xf numFmtId="0" fontId="0" fillId="0" borderId="38" xfId="0" applyFont="1" applyBorder="1" applyAlignment="1" applyProtection="1">
      <alignment horizontal="left" vertical="center" indent="1"/>
      <protection hidden="1"/>
    </xf>
    <xf numFmtId="0" fontId="0" fillId="0" borderId="0" xfId="0" applyFill="1" applyBorder="1" applyAlignment="1" applyProtection="1">
      <alignment horizontal="left" wrapText="1" indent="1"/>
      <protection hidden="1"/>
    </xf>
    <xf numFmtId="0" fontId="0" fillId="0" borderId="18" xfId="0" applyFont="1" applyBorder="1" applyAlignment="1" applyProtection="1">
      <alignment horizontal="left" vertical="center" indent="1"/>
      <protection hidden="1"/>
    </xf>
    <xf numFmtId="0" fontId="0" fillId="0" borderId="20" xfId="0" applyFont="1" applyBorder="1" applyAlignment="1" applyProtection="1">
      <alignment horizontal="left" vertical="center" indent="1"/>
      <protection hidden="1"/>
    </xf>
    <xf numFmtId="0" fontId="1" fillId="0" borderId="18" xfId="0" applyFont="1" applyFill="1" applyBorder="1" applyAlignment="1" applyProtection="1">
      <alignment horizontal="right"/>
      <protection hidden="1"/>
    </xf>
    <xf numFmtId="0" fontId="0" fillId="0" borderId="18" xfId="0" applyFill="1" applyBorder="1" applyProtection="1">
      <protection hidden="1"/>
    </xf>
    <xf numFmtId="0" fontId="0" fillId="0" borderId="18" xfId="0" applyBorder="1" applyProtection="1">
      <protection hidden="1"/>
    </xf>
    <xf numFmtId="0" fontId="1" fillId="0" borderId="0" xfId="0" applyFont="1" applyFill="1" applyProtection="1">
      <protection hidden="1"/>
    </xf>
    <xf numFmtId="0" fontId="0" fillId="7" borderId="0" xfId="0" applyFill="1" applyProtection="1">
      <protection hidden="1"/>
    </xf>
    <xf numFmtId="0" fontId="0" fillId="0" borderId="6" xfId="0" applyFill="1" applyBorder="1" applyAlignment="1" applyProtection="1">
      <alignment horizontal="left" vertical="center" indent="1"/>
      <protection hidden="1"/>
    </xf>
    <xf numFmtId="0" fontId="0" fillId="0" borderId="35" xfId="0" applyFill="1" applyBorder="1" applyAlignment="1" applyProtection="1">
      <alignment horizontal="left" indent="1"/>
      <protection hidden="1"/>
    </xf>
    <xf numFmtId="0" fontId="0" fillId="0" borderId="6" xfId="0" applyFill="1" applyBorder="1" applyAlignment="1" applyProtection="1">
      <alignment horizontal="left" indent="1"/>
      <protection hidden="1"/>
    </xf>
    <xf numFmtId="0" fontId="0" fillId="0" borderId="38" xfId="0" applyFill="1" applyBorder="1" applyAlignment="1" applyProtection="1">
      <alignment horizontal="left" indent="1"/>
      <protection hidden="1"/>
    </xf>
    <xf numFmtId="0" fontId="0" fillId="0" borderId="36" xfId="0" applyFill="1" applyBorder="1" applyAlignment="1" applyProtection="1">
      <alignment horizontal="left" vertical="center" indent="1"/>
      <protection hidden="1"/>
    </xf>
    <xf numFmtId="0" fontId="0" fillId="0" borderId="0" xfId="0" applyFill="1" applyBorder="1" applyAlignment="1" applyProtection="1">
      <alignment horizontal="left" indent="1"/>
      <protection hidden="1"/>
    </xf>
    <xf numFmtId="0" fontId="0" fillId="0" borderId="36" xfId="0" applyFill="1" applyBorder="1" applyAlignment="1" applyProtection="1">
      <alignment horizontal="left" indent="1"/>
      <protection hidden="1"/>
    </xf>
    <xf numFmtId="0" fontId="0" fillId="0" borderId="25" xfId="0" applyFill="1" applyBorder="1" applyAlignment="1" applyProtection="1">
      <alignment horizontal="left" indent="1"/>
      <protection hidden="1"/>
    </xf>
    <xf numFmtId="0" fontId="0" fillId="0" borderId="35" xfId="0" applyBorder="1" applyAlignment="1" applyProtection="1">
      <alignment horizontal="left" indent="1"/>
      <protection hidden="1"/>
    </xf>
    <xf numFmtId="0" fontId="0" fillId="0" borderId="38" xfId="0" applyBorder="1" applyAlignment="1" applyProtection="1">
      <alignment horizontal="left" indent="1"/>
      <protection hidden="1"/>
    </xf>
    <xf numFmtId="0" fontId="35" fillId="0" borderId="0" xfId="0" applyFont="1" applyFill="1" applyBorder="1" applyAlignment="1" applyProtection="1">
      <alignment horizontal="left"/>
      <protection hidden="1"/>
    </xf>
    <xf numFmtId="0" fontId="35" fillId="0" borderId="0" xfId="0" applyFont="1" applyProtection="1">
      <protection hidden="1"/>
    </xf>
    <xf numFmtId="0" fontId="0" fillId="0" borderId="0" xfId="0" applyFill="1" applyBorder="1" applyAlignment="1" applyProtection="1">
      <alignment horizontal="left"/>
      <protection hidden="1"/>
    </xf>
    <xf numFmtId="0" fontId="0" fillId="0" borderId="75" xfId="0" applyFont="1" applyFill="1" applyBorder="1" applyAlignment="1" applyProtection="1">
      <alignment horizontal="left" vertical="center"/>
      <protection hidden="1"/>
    </xf>
    <xf numFmtId="0" fontId="0" fillId="0" borderId="39" xfId="0" applyFont="1" applyFill="1" applyBorder="1" applyAlignment="1" applyProtection="1">
      <alignment horizontal="left" vertical="center"/>
      <protection hidden="1"/>
    </xf>
    <xf numFmtId="0" fontId="0" fillId="0" borderId="26" xfId="0" applyFont="1" applyFill="1" applyBorder="1" applyAlignment="1" applyProtection="1">
      <alignment horizontal="left" vertical="center"/>
      <protection hidden="1"/>
    </xf>
    <xf numFmtId="0" fontId="0" fillId="0" borderId="38" xfId="0" applyBorder="1" applyAlignment="1" applyProtection="1">
      <alignment horizontal="left" vertical="center" indent="1"/>
      <protection hidden="1"/>
    </xf>
    <xf numFmtId="0" fontId="0" fillId="0" borderId="6" xfId="0" applyBorder="1" applyProtection="1">
      <protection hidden="1"/>
    </xf>
    <xf numFmtId="0" fontId="0" fillId="0" borderId="35" xfId="0" applyBorder="1" applyProtection="1">
      <protection hidden="1"/>
    </xf>
    <xf numFmtId="0" fontId="0" fillId="7" borderId="1" xfId="0" applyFont="1" applyFill="1" applyBorder="1" applyAlignment="1" applyProtection="1">
      <alignment horizontal="left" vertical="center" indent="1"/>
      <protection hidden="1"/>
    </xf>
    <xf numFmtId="0" fontId="0" fillId="0" borderId="25" xfId="0" applyFill="1" applyBorder="1" applyProtection="1">
      <protection hidden="1"/>
    </xf>
    <xf numFmtId="0" fontId="0" fillId="7" borderId="1" xfId="0" applyFill="1" applyBorder="1" applyAlignment="1" applyProtection="1">
      <alignment horizontal="left" vertical="center" indent="1"/>
      <protection hidden="1"/>
    </xf>
    <xf numFmtId="0" fontId="0" fillId="0" borderId="35" xfId="0" applyFill="1" applyBorder="1" applyAlignment="1" applyProtection="1">
      <alignment horizontal="left" vertical="center" indent="1"/>
      <protection hidden="1"/>
    </xf>
    <xf numFmtId="0" fontId="0" fillId="0" borderId="38" xfId="0" applyFill="1" applyBorder="1" applyAlignment="1" applyProtection="1">
      <alignment horizontal="left" vertical="center" indent="1"/>
      <protection hidden="1"/>
    </xf>
    <xf numFmtId="0" fontId="0" fillId="0" borderId="75" xfId="0" applyFill="1" applyBorder="1" applyAlignment="1" applyProtection="1">
      <alignment horizontal="left" vertical="center" indent="1"/>
      <protection hidden="1"/>
    </xf>
    <xf numFmtId="0" fontId="0" fillId="0" borderId="39" xfId="0" applyFill="1" applyBorder="1" applyAlignment="1" applyProtection="1">
      <alignment horizontal="left" vertical="center" indent="1"/>
      <protection hidden="1"/>
    </xf>
    <xf numFmtId="0" fontId="0" fillId="0" borderId="26" xfId="0" applyFill="1" applyBorder="1" applyAlignment="1" applyProtection="1">
      <alignment horizontal="left" vertical="center" indent="1"/>
      <protection hidden="1"/>
    </xf>
    <xf numFmtId="0" fontId="0" fillId="0" borderId="36" xfId="0" applyFill="1" applyBorder="1" applyAlignment="1" applyProtection="1">
      <alignment horizontal="left" vertical="center" wrapText="1" indent="1"/>
      <protection hidden="1"/>
    </xf>
    <xf numFmtId="0" fontId="0" fillId="0" borderId="0" xfId="0" applyFill="1" applyBorder="1" applyAlignment="1" applyProtection="1">
      <alignment horizontal="left" vertical="center" wrapText="1" indent="1"/>
      <protection hidden="1"/>
    </xf>
    <xf numFmtId="0" fontId="0" fillId="0" borderId="25" xfId="0" applyFill="1" applyBorder="1" applyAlignment="1" applyProtection="1">
      <alignment horizontal="left" vertical="center" wrapText="1" indent="1"/>
      <protection hidden="1"/>
    </xf>
    <xf numFmtId="0" fontId="0" fillId="0" borderId="6" xfId="0" applyFill="1" applyBorder="1" applyAlignment="1" applyProtection="1">
      <alignment horizontal="left" vertical="center" wrapText="1" indent="1"/>
      <protection hidden="1"/>
    </xf>
    <xf numFmtId="0" fontId="0" fillId="0" borderId="35" xfId="0" applyFill="1" applyBorder="1" applyAlignment="1" applyProtection="1">
      <alignment horizontal="left" vertical="center" wrapText="1" indent="1"/>
      <protection hidden="1"/>
    </xf>
    <xf numFmtId="0" fontId="0" fillId="0" borderId="38" xfId="0" applyFill="1" applyBorder="1" applyAlignment="1" applyProtection="1">
      <alignment horizontal="left" vertical="center" wrapText="1" indent="1"/>
      <protection hidden="1"/>
    </xf>
    <xf numFmtId="0" fontId="0" fillId="0" borderId="75" xfId="0" applyFont="1" applyFill="1" applyBorder="1" applyAlignment="1" applyProtection="1">
      <alignment horizontal="left" vertical="center" indent="1"/>
      <protection hidden="1"/>
    </xf>
    <xf numFmtId="0" fontId="0" fillId="0" borderId="26" xfId="0" applyFont="1" applyFill="1" applyBorder="1" applyAlignment="1" applyProtection="1">
      <alignment horizontal="left" vertical="center" indent="1"/>
      <protection hidden="1"/>
    </xf>
    <xf numFmtId="0" fontId="0" fillId="0" borderId="66" xfId="0" applyFont="1" applyFill="1" applyBorder="1" applyAlignment="1" applyProtection="1">
      <alignment horizontal="left" vertical="center" indent="1"/>
      <protection hidden="1"/>
    </xf>
    <xf numFmtId="0" fontId="0" fillId="0" borderId="20" xfId="0" applyFont="1" applyFill="1" applyBorder="1" applyAlignment="1" applyProtection="1">
      <alignment horizontal="left" vertical="center" indent="1"/>
      <protection hidden="1"/>
    </xf>
    <xf numFmtId="0" fontId="0" fillId="0" borderId="36" xfId="0" applyFont="1" applyFill="1" applyBorder="1" applyAlignment="1" applyProtection="1">
      <alignment horizontal="left" vertical="center" indent="1"/>
      <protection hidden="1"/>
    </xf>
    <xf numFmtId="0" fontId="0" fillId="0" borderId="0" xfId="0" applyAlignment="1" applyProtection="1">
      <alignment horizontal="center"/>
      <protection hidden="1"/>
    </xf>
    <xf numFmtId="0" fontId="0" fillId="0" borderId="0" xfId="0" applyFont="1" applyFill="1" applyProtection="1">
      <protection hidden="1"/>
    </xf>
    <xf numFmtId="0" fontId="6" fillId="0" borderId="0" xfId="0" applyFont="1" applyFill="1" applyProtection="1">
      <protection hidden="1"/>
    </xf>
    <xf numFmtId="0" fontId="5" fillId="0" borderId="0" xfId="1" applyFont="1" applyFill="1" applyAlignment="1" applyProtection="1">
      <alignment horizontal="left"/>
      <protection hidden="1"/>
    </xf>
    <xf numFmtId="0" fontId="6" fillId="0" borderId="0" xfId="0" applyFont="1" applyFill="1" applyAlignment="1" applyProtection="1">
      <alignment horizontal="left"/>
      <protection hidden="1"/>
    </xf>
    <xf numFmtId="0" fontId="3" fillId="0" borderId="5" xfId="0" applyFont="1" applyFill="1" applyBorder="1" applyAlignment="1" applyProtection="1">
      <protection hidden="1"/>
    </xf>
    <xf numFmtId="0" fontId="6" fillId="0" borderId="0" xfId="0" applyFont="1" applyFill="1" applyProtection="1">
      <protection locked="0" hidden="1"/>
    </xf>
    <xf numFmtId="0" fontId="6" fillId="0" borderId="0" xfId="0" applyFont="1" applyProtection="1">
      <protection hidden="1"/>
    </xf>
    <xf numFmtId="0" fontId="27" fillId="0" borderId="0" xfId="1" applyFont="1" applyFill="1" applyAlignment="1" applyProtection="1">
      <alignment horizontal="left" indent="1"/>
      <protection hidden="1"/>
    </xf>
    <xf numFmtId="0" fontId="27" fillId="0" borderId="0" xfId="1" applyFont="1" applyFill="1" applyAlignment="1" applyProtection="1">
      <protection hidden="1"/>
    </xf>
    <xf numFmtId="0" fontId="7" fillId="0" borderId="0" xfId="0" applyFont="1" applyFill="1" applyProtection="1">
      <protection hidden="1"/>
    </xf>
    <xf numFmtId="0" fontId="7" fillId="0" borderId="0" xfId="0" applyFont="1" applyProtection="1">
      <protection hidden="1"/>
    </xf>
    <xf numFmtId="0" fontId="7" fillId="0" borderId="0" xfId="0" applyFont="1" applyFill="1" applyAlignment="1" applyProtection="1">
      <protection hidden="1"/>
    </xf>
    <xf numFmtId="0" fontId="8" fillId="0" borderId="0" xfId="1" applyFont="1" applyFill="1" applyAlignment="1" applyProtection="1">
      <protection hidden="1"/>
    </xf>
    <xf numFmtId="0" fontId="30" fillId="3" borderId="46" xfId="0" applyFont="1" applyFill="1" applyBorder="1" applyAlignment="1" applyProtection="1">
      <alignment horizontal="center"/>
      <protection hidden="1"/>
    </xf>
    <xf numFmtId="0" fontId="7" fillId="0" borderId="0" xfId="0" applyFont="1" applyAlignment="1" applyProtection="1">
      <alignment horizontal="left" indent="1"/>
      <protection hidden="1"/>
    </xf>
    <xf numFmtId="0" fontId="9" fillId="0" borderId="0" xfId="0" applyFont="1" applyFill="1" applyBorder="1" applyAlignment="1" applyProtection="1">
      <alignment horizontal="left" vertical="center"/>
      <protection hidden="1"/>
    </xf>
    <xf numFmtId="0" fontId="15" fillId="0" borderId="0" xfId="0" quotePrefix="1" applyFont="1" applyFill="1" applyBorder="1" applyAlignment="1" applyProtection="1">
      <alignment horizontal="right" vertical="center"/>
      <protection hidden="1"/>
    </xf>
    <xf numFmtId="0" fontId="7" fillId="13" borderId="61" xfId="0" applyFont="1" applyFill="1" applyBorder="1" applyAlignment="1" applyProtection="1">
      <alignment horizontal="center" vertical="center"/>
      <protection hidden="1"/>
    </xf>
    <xf numFmtId="0" fontId="7" fillId="5" borderId="62" xfId="0" applyFont="1" applyFill="1" applyBorder="1" applyAlignment="1" applyProtection="1">
      <alignment horizontal="center" vertical="center"/>
      <protection hidden="1"/>
    </xf>
    <xf numFmtId="0" fontId="7" fillId="4" borderId="62" xfId="0" applyFont="1" applyFill="1" applyBorder="1" applyAlignment="1" applyProtection="1">
      <alignment horizontal="center" vertical="center"/>
      <protection hidden="1"/>
    </xf>
    <xf numFmtId="0" fontId="15" fillId="0" borderId="0" xfId="0" applyFont="1" applyFill="1" applyBorder="1" applyAlignment="1" applyProtection="1">
      <alignment horizontal="right" vertical="center"/>
      <protection hidden="1"/>
    </xf>
    <xf numFmtId="0" fontId="7" fillId="9" borderId="62" xfId="0" applyFont="1" applyFill="1" applyBorder="1" applyAlignment="1" applyProtection="1">
      <alignment horizontal="center"/>
      <protection hidden="1"/>
    </xf>
    <xf numFmtId="0" fontId="30" fillId="11" borderId="63" xfId="0" applyFont="1" applyFill="1" applyBorder="1" applyAlignment="1" applyProtection="1">
      <alignment horizontal="center"/>
      <protection hidden="1"/>
    </xf>
    <xf numFmtId="0" fontId="9" fillId="0" borderId="0" xfId="0" applyFont="1" applyFill="1" applyProtection="1">
      <protection hidden="1"/>
    </xf>
    <xf numFmtId="0" fontId="27" fillId="0" borderId="0" xfId="1" applyFont="1" applyFill="1" applyBorder="1" applyAlignment="1" applyProtection="1">
      <alignment horizontal="right" vertical="center"/>
      <protection locked="0" hidden="1"/>
    </xf>
    <xf numFmtId="0" fontId="26" fillId="0" borderId="0" xfId="2" applyProtection="1">
      <protection hidden="1"/>
    </xf>
    <xf numFmtId="0" fontId="8" fillId="0" borderId="0" xfId="1" applyFont="1" applyFill="1" applyBorder="1" applyAlignment="1" applyProtection="1">
      <alignment vertical="center"/>
      <protection hidden="1"/>
    </xf>
    <xf numFmtId="0" fontId="7" fillId="0" borderId="0" xfId="2" applyFont="1" applyFill="1" applyProtection="1">
      <protection hidden="1"/>
    </xf>
    <xf numFmtId="0" fontId="7" fillId="0" borderId="0" xfId="2" applyFont="1" applyFill="1" applyAlignment="1" applyProtection="1">
      <protection hidden="1"/>
    </xf>
    <xf numFmtId="0" fontId="26" fillId="0" borderId="0" xfId="2" applyFill="1" applyProtection="1">
      <protection hidden="1"/>
    </xf>
    <xf numFmtId="0" fontId="27" fillId="0" borderId="0" xfId="1" applyFont="1" applyFill="1" applyProtection="1">
      <protection hidden="1"/>
    </xf>
    <xf numFmtId="0" fontId="4" fillId="0" borderId="0" xfId="1" applyFill="1" applyAlignment="1" applyProtection="1">
      <protection hidden="1"/>
    </xf>
    <xf numFmtId="0" fontId="5" fillId="0" borderId="0" xfId="1" applyFont="1" applyFill="1" applyBorder="1" applyAlignment="1" applyProtection="1">
      <alignment horizontal="center" vertical="center"/>
      <protection hidden="1"/>
    </xf>
    <xf numFmtId="0" fontId="14" fillId="0" borderId="18" xfId="0" applyFont="1" applyBorder="1" applyAlignment="1" applyProtection="1">
      <protection hidden="1"/>
    </xf>
    <xf numFmtId="0" fontId="0" fillId="0" borderId="0" xfId="0" applyBorder="1" applyAlignment="1" applyProtection="1">
      <alignment horizontal="center"/>
      <protection hidden="1"/>
    </xf>
    <xf numFmtId="0" fontId="0" fillId="0" borderId="0" xfId="0" applyFont="1" applyFill="1" applyBorder="1" applyAlignment="1" applyProtection="1">
      <alignment horizontal="center"/>
      <protection hidden="1"/>
    </xf>
    <xf numFmtId="0" fontId="1" fillId="0" borderId="6" xfId="0" applyFont="1" applyBorder="1" applyAlignment="1" applyProtection="1">
      <alignment horizontal="center"/>
      <protection hidden="1"/>
    </xf>
    <xf numFmtId="0" fontId="1" fillId="0" borderId="35" xfId="0" applyFont="1" applyBorder="1" applyAlignment="1" applyProtection="1">
      <alignment horizontal="center"/>
      <protection hidden="1"/>
    </xf>
    <xf numFmtId="0" fontId="1" fillId="0" borderId="7" xfId="0" applyFont="1" applyBorder="1" applyAlignment="1" applyProtection="1">
      <alignment horizontal="center"/>
      <protection hidden="1"/>
    </xf>
    <xf numFmtId="0" fontId="1" fillId="0" borderId="17" xfId="0" applyFont="1" applyBorder="1" applyAlignment="1" applyProtection="1">
      <alignment horizontal="center"/>
      <protection hidden="1"/>
    </xf>
    <xf numFmtId="0" fontId="1" fillId="0" borderId="18" xfId="0" applyFont="1" applyBorder="1" applyAlignment="1" applyProtection="1">
      <alignment horizontal="center"/>
      <protection hidden="1"/>
    </xf>
    <xf numFmtId="0" fontId="0" fillId="0" borderId="18" xfId="0" applyFont="1" applyBorder="1" applyAlignment="1" applyProtection="1">
      <alignment horizontal="left"/>
      <protection hidden="1"/>
    </xf>
    <xf numFmtId="49" fontId="0" fillId="5" borderId="6" xfId="0" applyNumberFormat="1" applyFont="1" applyFill="1" applyBorder="1" applyAlignment="1" applyProtection="1">
      <alignment horizontal="center"/>
      <protection hidden="1"/>
    </xf>
    <xf numFmtId="49" fontId="0" fillId="5" borderId="7" xfId="0" applyNumberFormat="1" applyFont="1" applyFill="1" applyBorder="1" applyAlignment="1" applyProtection="1">
      <alignment horizontal="center"/>
      <protection hidden="1"/>
    </xf>
    <xf numFmtId="176" fontId="0" fillId="5" borderId="35" xfId="0" applyNumberFormat="1" applyFont="1" applyFill="1" applyBorder="1" applyAlignment="1" applyProtection="1">
      <alignment horizontal="center"/>
      <protection hidden="1"/>
    </xf>
    <xf numFmtId="0" fontId="0" fillId="5" borderId="7" xfId="0" applyNumberFormat="1" applyFont="1" applyFill="1" applyBorder="1" applyAlignment="1" applyProtection="1">
      <alignment horizontal="center"/>
      <protection hidden="1"/>
    </xf>
    <xf numFmtId="0" fontId="0" fillId="5" borderId="35" xfId="0" applyNumberFormat="1" applyFont="1" applyFill="1" applyBorder="1" applyAlignment="1" applyProtection="1">
      <alignment horizontal="center"/>
      <protection hidden="1"/>
    </xf>
    <xf numFmtId="49" fontId="0" fillId="5" borderId="17" xfId="0" applyNumberFormat="1" applyFont="1" applyFill="1" applyBorder="1" applyAlignment="1" applyProtection="1">
      <alignment horizontal="center"/>
      <protection hidden="1"/>
    </xf>
    <xf numFmtId="0" fontId="0" fillId="5" borderId="0" xfId="0" applyFont="1" applyFill="1" applyAlignment="1" applyProtection="1">
      <alignment horizontal="center"/>
      <protection hidden="1"/>
    </xf>
    <xf numFmtId="0" fontId="0" fillId="5" borderId="0" xfId="0" applyNumberFormat="1" applyFont="1" applyFill="1" applyAlignment="1" applyProtection="1">
      <alignment horizontal="center"/>
      <protection hidden="1"/>
    </xf>
    <xf numFmtId="0" fontId="0" fillId="0" borderId="0" xfId="0" quotePrefix="1" applyProtection="1">
      <protection hidden="1"/>
    </xf>
    <xf numFmtId="0" fontId="0" fillId="0" borderId="38" xfId="0" applyFont="1" applyBorder="1" applyAlignment="1" applyProtection="1">
      <alignment horizontal="left"/>
      <protection hidden="1"/>
    </xf>
    <xf numFmtId="49" fontId="0" fillId="5" borderId="36" xfId="0" applyNumberFormat="1" applyFont="1" applyFill="1" applyBorder="1" applyAlignment="1" applyProtection="1">
      <alignment horizontal="center"/>
      <protection hidden="1"/>
    </xf>
    <xf numFmtId="10" fontId="17" fillId="5" borderId="35" xfId="0" applyNumberFormat="1" applyFont="1" applyFill="1" applyBorder="1" applyAlignment="1" applyProtection="1">
      <alignment horizontal="center"/>
      <protection hidden="1"/>
    </xf>
    <xf numFmtId="165" fontId="17" fillId="5" borderId="35" xfId="0" applyNumberFormat="1" applyFont="1" applyFill="1" applyBorder="1" applyAlignment="1" applyProtection="1">
      <alignment horizontal="center"/>
      <protection hidden="1"/>
    </xf>
    <xf numFmtId="166" fontId="17" fillId="5" borderId="35" xfId="0" applyNumberFormat="1" applyFont="1" applyFill="1" applyBorder="1" applyAlignment="1" applyProtection="1">
      <alignment horizontal="center"/>
      <protection hidden="1"/>
    </xf>
    <xf numFmtId="167" fontId="17" fillId="5" borderId="35" xfId="0" applyNumberFormat="1" applyFont="1" applyFill="1" applyBorder="1" applyAlignment="1" applyProtection="1">
      <alignment horizontal="center"/>
      <protection hidden="1"/>
    </xf>
    <xf numFmtId="175" fontId="18" fillId="5" borderId="35" xfId="0" applyNumberFormat="1" applyFont="1" applyFill="1" applyBorder="1" applyAlignment="1" applyProtection="1">
      <alignment horizontal="center"/>
      <protection hidden="1"/>
    </xf>
    <xf numFmtId="176" fontId="2" fillId="5" borderId="35" xfId="0" applyNumberFormat="1" applyFont="1" applyFill="1" applyBorder="1" applyAlignment="1" applyProtection="1">
      <alignment horizontal="center"/>
      <protection hidden="1"/>
    </xf>
    <xf numFmtId="172" fontId="18" fillId="5" borderId="35" xfId="0" applyNumberFormat="1" applyFont="1" applyFill="1" applyBorder="1" applyAlignment="1" applyProtection="1">
      <alignment horizontal="center"/>
      <protection hidden="1"/>
    </xf>
    <xf numFmtId="172" fontId="2" fillId="5" borderId="35" xfId="0" applyNumberFormat="1" applyFont="1" applyFill="1" applyBorder="1" applyAlignment="1" applyProtection="1">
      <alignment horizontal="center"/>
      <protection hidden="1"/>
    </xf>
    <xf numFmtId="172" fontId="2" fillId="5" borderId="7" xfId="0" applyNumberFormat="1" applyFont="1" applyFill="1" applyBorder="1" applyAlignment="1" applyProtection="1">
      <alignment horizontal="center"/>
      <protection hidden="1"/>
    </xf>
    <xf numFmtId="187" fontId="2" fillId="5" borderId="18" xfId="0" applyNumberFormat="1" applyFont="1" applyFill="1" applyBorder="1" applyAlignment="1" applyProtection="1">
      <alignment horizontal="center"/>
      <protection hidden="1"/>
    </xf>
    <xf numFmtId="168" fontId="0" fillId="5" borderId="38" xfId="0" applyNumberFormat="1" applyFont="1" applyFill="1" applyBorder="1" applyAlignment="1" applyProtection="1">
      <alignment horizontal="center"/>
      <protection hidden="1"/>
    </xf>
    <xf numFmtId="0" fontId="17" fillId="5" borderId="0" xfId="0" applyNumberFormat="1" applyFont="1" applyFill="1" applyAlignment="1" applyProtection="1">
      <alignment horizontal="center"/>
      <protection hidden="1"/>
    </xf>
    <xf numFmtId="0" fontId="0" fillId="0" borderId="25" xfId="0" applyBorder="1" applyAlignment="1" applyProtection="1">
      <alignment horizontal="left"/>
      <protection hidden="1"/>
    </xf>
    <xf numFmtId="166" fontId="13" fillId="5" borderId="35" xfId="0" applyNumberFormat="1" applyFont="1" applyFill="1" applyBorder="1" applyAlignment="1" applyProtection="1">
      <alignment horizontal="center"/>
      <protection hidden="1"/>
    </xf>
    <xf numFmtId="187" fontId="18" fillId="5" borderId="39" xfId="0" applyNumberFormat="1" applyFont="1" applyFill="1" applyBorder="1" applyAlignment="1" applyProtection="1">
      <alignment horizontal="center"/>
      <protection hidden="1"/>
    </xf>
    <xf numFmtId="177" fontId="17" fillId="5" borderId="26" xfId="0" applyNumberFormat="1" applyFont="1" applyFill="1" applyBorder="1" applyAlignment="1" applyProtection="1">
      <alignment horizontal="center"/>
      <protection hidden="1"/>
    </xf>
    <xf numFmtId="0" fontId="37" fillId="5" borderId="0" xfId="0" applyNumberFormat="1" applyFont="1" applyFill="1" applyAlignment="1" applyProtection="1">
      <alignment horizontal="center"/>
      <protection hidden="1"/>
    </xf>
    <xf numFmtId="0" fontId="0" fillId="0" borderId="7" xfId="0" applyFont="1" applyBorder="1" applyAlignment="1" applyProtection="1">
      <alignment horizontal="left"/>
      <protection hidden="1"/>
    </xf>
    <xf numFmtId="49" fontId="0" fillId="5" borderId="6" xfId="0" applyNumberFormat="1" applyFill="1" applyBorder="1" applyAlignment="1" applyProtection="1">
      <alignment horizontal="center"/>
      <protection hidden="1"/>
    </xf>
    <xf numFmtId="10" fontId="0" fillId="5" borderId="18" xfId="0" applyNumberFormat="1" applyFill="1" applyBorder="1" applyAlignment="1" applyProtection="1">
      <alignment horizontal="center"/>
      <protection hidden="1"/>
    </xf>
    <xf numFmtId="165" fontId="0" fillId="5" borderId="18" xfId="0" applyNumberFormat="1" applyFont="1" applyFill="1" applyBorder="1" applyAlignment="1" applyProtection="1">
      <alignment horizontal="center"/>
      <protection hidden="1"/>
    </xf>
    <xf numFmtId="166" fontId="0" fillId="5" borderId="18" xfId="0" applyNumberFormat="1" applyFill="1" applyBorder="1" applyAlignment="1" applyProtection="1">
      <alignment horizontal="center"/>
      <protection hidden="1"/>
    </xf>
    <xf numFmtId="167" fontId="0" fillId="5" borderId="18" xfId="0" applyNumberFormat="1" applyFont="1" applyFill="1" applyBorder="1" applyAlignment="1" applyProtection="1">
      <alignment horizontal="center"/>
      <protection hidden="1"/>
    </xf>
    <xf numFmtId="10" fontId="0" fillId="5" borderId="18" xfId="0" applyNumberFormat="1" applyFont="1" applyFill="1" applyBorder="1" applyAlignment="1" applyProtection="1">
      <alignment horizontal="center"/>
      <protection hidden="1"/>
    </xf>
    <xf numFmtId="175" fontId="2" fillId="5" borderId="18" xfId="0" applyNumberFormat="1" applyFont="1" applyFill="1" applyBorder="1" applyAlignment="1" applyProtection="1">
      <alignment horizontal="center"/>
      <protection hidden="1"/>
    </xf>
    <xf numFmtId="176" fontId="2" fillId="5" borderId="18" xfId="0" applyNumberFormat="1" applyFont="1" applyFill="1" applyBorder="1" applyAlignment="1" applyProtection="1">
      <alignment horizontal="center"/>
      <protection hidden="1"/>
    </xf>
    <xf numFmtId="0" fontId="0" fillId="0" borderId="17" xfId="0" applyFont="1" applyBorder="1" applyAlignment="1" applyProtection="1">
      <alignment horizontal="left"/>
      <protection hidden="1"/>
    </xf>
    <xf numFmtId="49" fontId="0" fillId="5" borderId="36" xfId="0" applyNumberFormat="1" applyFill="1" applyBorder="1" applyAlignment="1" applyProtection="1">
      <alignment horizontal="center"/>
      <protection hidden="1"/>
    </xf>
    <xf numFmtId="10" fontId="0" fillId="5" borderId="35" xfId="0" applyNumberFormat="1" applyFont="1" applyFill="1" applyBorder="1" applyAlignment="1" applyProtection="1">
      <alignment horizontal="center"/>
      <protection hidden="1"/>
    </xf>
    <xf numFmtId="165" fontId="0" fillId="5" borderId="35" xfId="0" applyNumberFormat="1" applyFont="1" applyFill="1" applyBorder="1" applyAlignment="1" applyProtection="1">
      <alignment horizontal="center"/>
      <protection hidden="1"/>
    </xf>
    <xf numFmtId="166" fontId="0" fillId="5" borderId="35" xfId="0" applyNumberFormat="1" applyFont="1" applyFill="1" applyBorder="1" applyAlignment="1" applyProtection="1">
      <alignment horizontal="center"/>
      <protection hidden="1"/>
    </xf>
    <xf numFmtId="167" fontId="0" fillId="5" borderId="35" xfId="0" applyNumberFormat="1" applyFont="1" applyFill="1" applyBorder="1" applyAlignment="1" applyProtection="1">
      <alignment horizontal="center"/>
      <protection hidden="1"/>
    </xf>
    <xf numFmtId="175" fontId="2" fillId="5" borderId="35" xfId="0" applyNumberFormat="1" applyFont="1" applyFill="1" applyBorder="1" applyAlignment="1" applyProtection="1">
      <alignment horizontal="center"/>
      <protection hidden="1"/>
    </xf>
    <xf numFmtId="176" fontId="2" fillId="5" borderId="39" xfId="0" applyNumberFormat="1" applyFont="1" applyFill="1" applyBorder="1" applyAlignment="1" applyProtection="1">
      <alignment horizontal="center"/>
      <protection hidden="1"/>
    </xf>
    <xf numFmtId="172" fontId="2" fillId="5" borderId="39" xfId="0" applyNumberFormat="1" applyFont="1" applyFill="1" applyBorder="1" applyAlignment="1" applyProtection="1">
      <alignment horizontal="center"/>
      <protection hidden="1"/>
    </xf>
    <xf numFmtId="172" fontId="2" fillId="5" borderId="18" xfId="0" applyNumberFormat="1" applyFont="1" applyFill="1" applyBorder="1" applyAlignment="1" applyProtection="1">
      <alignment horizontal="center"/>
      <protection hidden="1"/>
    </xf>
    <xf numFmtId="168" fontId="0" fillId="5" borderId="20" xfId="0" applyNumberFormat="1" applyFont="1" applyFill="1" applyBorder="1" applyAlignment="1" applyProtection="1">
      <alignment horizontal="center"/>
      <protection hidden="1"/>
    </xf>
    <xf numFmtId="0" fontId="0" fillId="0" borderId="20" xfId="0" applyFont="1" applyBorder="1" applyAlignment="1" applyProtection="1">
      <alignment horizontal="left"/>
      <protection hidden="1"/>
    </xf>
    <xf numFmtId="176" fontId="18" fillId="5" borderId="39" xfId="0" applyNumberFormat="1" applyFont="1" applyFill="1" applyBorder="1" applyAlignment="1" applyProtection="1">
      <alignment horizontal="center"/>
      <protection hidden="1"/>
    </xf>
    <xf numFmtId="10" fontId="0" fillId="5" borderId="7" xfId="0" applyNumberFormat="1" applyFont="1" applyFill="1" applyBorder="1" applyAlignment="1" applyProtection="1">
      <alignment horizontal="center"/>
      <protection hidden="1"/>
    </xf>
    <xf numFmtId="165" fontId="0" fillId="5" borderId="7" xfId="0" applyNumberFormat="1" applyFont="1" applyFill="1" applyBorder="1" applyAlignment="1" applyProtection="1">
      <alignment horizontal="center"/>
      <protection hidden="1"/>
    </xf>
    <xf numFmtId="166" fontId="0" fillId="5" borderId="7" xfId="0" applyNumberFormat="1" applyFont="1" applyFill="1" applyBorder="1" applyAlignment="1" applyProtection="1">
      <alignment horizontal="center"/>
      <protection hidden="1"/>
    </xf>
    <xf numFmtId="167" fontId="0" fillId="5" borderId="7" xfId="0" applyNumberFormat="1" applyFont="1" applyFill="1" applyBorder="1" applyAlignment="1" applyProtection="1">
      <alignment horizontal="center"/>
      <protection hidden="1"/>
    </xf>
    <xf numFmtId="175" fontId="2" fillId="5" borderId="7" xfId="0" applyNumberFormat="1" applyFont="1" applyFill="1" applyBorder="1" applyAlignment="1" applyProtection="1">
      <alignment horizontal="center"/>
      <protection hidden="1"/>
    </xf>
    <xf numFmtId="168" fontId="0" fillId="5" borderId="17" xfId="0" applyNumberFormat="1" applyFont="1" applyFill="1" applyBorder="1" applyAlignment="1" applyProtection="1">
      <alignment horizontal="center"/>
      <protection hidden="1"/>
    </xf>
    <xf numFmtId="0" fontId="0" fillId="0" borderId="6" xfId="0" applyFont="1" applyBorder="1" applyAlignment="1" applyProtection="1">
      <alignment horizontal="left"/>
      <protection hidden="1"/>
    </xf>
    <xf numFmtId="10" fontId="0" fillId="5" borderId="39" xfId="0" applyNumberFormat="1" applyFont="1" applyFill="1" applyBorder="1" applyAlignment="1" applyProtection="1">
      <alignment horizontal="center"/>
      <protection hidden="1"/>
    </xf>
    <xf numFmtId="188" fontId="0" fillId="5" borderId="39" xfId="0" applyNumberFormat="1" applyFont="1" applyFill="1" applyBorder="1" applyAlignment="1" applyProtection="1">
      <alignment horizontal="center"/>
      <protection hidden="1"/>
    </xf>
    <xf numFmtId="166" fontId="0" fillId="5" borderId="39" xfId="0" applyNumberFormat="1" applyFont="1" applyFill="1" applyBorder="1" applyAlignment="1" applyProtection="1">
      <alignment horizontal="center"/>
      <protection hidden="1"/>
    </xf>
    <xf numFmtId="167" fontId="0" fillId="5" borderId="39" xfId="0" applyNumberFormat="1" applyFont="1" applyFill="1" applyBorder="1" applyAlignment="1" applyProtection="1">
      <alignment horizontal="center"/>
      <protection hidden="1"/>
    </xf>
    <xf numFmtId="165" fontId="0" fillId="5" borderId="39" xfId="0" applyNumberFormat="1" applyFont="1" applyFill="1" applyBorder="1" applyAlignment="1" applyProtection="1">
      <alignment horizontal="center"/>
      <protection hidden="1"/>
    </xf>
    <xf numFmtId="175" fontId="2" fillId="5" borderId="39" xfId="0" applyNumberFormat="1" applyFont="1" applyFill="1" applyBorder="1" applyAlignment="1" applyProtection="1">
      <alignment horizontal="center"/>
      <protection hidden="1"/>
    </xf>
    <xf numFmtId="172" fontId="0" fillId="5" borderId="21" xfId="0" applyNumberFormat="1" applyFont="1" applyFill="1" applyBorder="1" applyAlignment="1" applyProtection="1">
      <alignment horizontal="center"/>
      <protection hidden="1"/>
    </xf>
    <xf numFmtId="187" fontId="0" fillId="5" borderId="39" xfId="0" applyNumberFormat="1" applyFont="1" applyFill="1" applyBorder="1" applyAlignment="1" applyProtection="1">
      <alignment horizontal="center"/>
      <protection hidden="1"/>
    </xf>
    <xf numFmtId="168" fontId="0" fillId="5" borderId="26" xfId="0" applyNumberFormat="1" applyFont="1" applyFill="1" applyBorder="1" applyAlignment="1" applyProtection="1">
      <alignment horizontal="center"/>
      <protection hidden="1"/>
    </xf>
    <xf numFmtId="0" fontId="0" fillId="0" borderId="6" xfId="0" applyBorder="1" applyAlignment="1" applyProtection="1">
      <alignment horizontal="left"/>
      <protection hidden="1"/>
    </xf>
    <xf numFmtId="10" fontId="17" fillId="5" borderId="21" xfId="0" applyNumberFormat="1" applyFont="1" applyFill="1" applyBorder="1" applyAlignment="1" applyProtection="1">
      <alignment horizontal="center"/>
      <protection hidden="1"/>
    </xf>
    <xf numFmtId="165" fontId="17" fillId="5" borderId="21" xfId="0" applyNumberFormat="1" applyFont="1" applyFill="1" applyBorder="1" applyAlignment="1" applyProtection="1">
      <alignment horizontal="center"/>
      <protection hidden="1"/>
    </xf>
    <xf numFmtId="166" fontId="13" fillId="5" borderId="21" xfId="0" applyNumberFormat="1" applyFont="1" applyFill="1" applyBorder="1" applyAlignment="1" applyProtection="1">
      <alignment horizontal="center"/>
      <protection hidden="1"/>
    </xf>
    <xf numFmtId="166" fontId="17" fillId="5" borderId="21" xfId="0" applyNumberFormat="1" applyFont="1" applyFill="1" applyBorder="1" applyAlignment="1" applyProtection="1">
      <alignment horizontal="center"/>
      <protection hidden="1"/>
    </xf>
    <xf numFmtId="167" fontId="17" fillId="5" borderId="21" xfId="0" applyNumberFormat="1" applyFont="1" applyFill="1" applyBorder="1" applyAlignment="1" applyProtection="1">
      <alignment horizontal="center"/>
      <protection hidden="1"/>
    </xf>
    <xf numFmtId="175" fontId="18" fillId="5" borderId="21" xfId="0" applyNumberFormat="1" applyFont="1" applyFill="1" applyBorder="1" applyAlignment="1" applyProtection="1">
      <alignment horizontal="center"/>
      <protection hidden="1"/>
    </xf>
    <xf numFmtId="172" fontId="18" fillId="5" borderId="7" xfId="0" applyNumberFormat="1" applyFont="1" applyFill="1" applyBorder="1" applyAlignment="1" applyProtection="1">
      <alignment horizontal="center"/>
      <protection hidden="1"/>
    </xf>
    <xf numFmtId="172" fontId="18" fillId="5" borderId="21" xfId="0" applyNumberFormat="1" applyFont="1" applyFill="1" applyBorder="1" applyAlignment="1" applyProtection="1">
      <alignment horizontal="center"/>
      <protection hidden="1"/>
    </xf>
    <xf numFmtId="0" fontId="0" fillId="0" borderId="1" xfId="0" applyBorder="1" applyAlignment="1" applyProtection="1">
      <alignment horizontal="left"/>
      <protection hidden="1"/>
    </xf>
    <xf numFmtId="166" fontId="13" fillId="5" borderId="7" xfId="0" applyNumberFormat="1" applyFont="1" applyFill="1" applyBorder="1" applyAlignment="1" applyProtection="1">
      <alignment horizontal="center"/>
      <protection hidden="1"/>
    </xf>
    <xf numFmtId="187" fontId="2" fillId="5" borderId="35" xfId="0" applyNumberFormat="1" applyFont="1" applyFill="1" applyBorder="1" applyAlignment="1" applyProtection="1">
      <alignment horizontal="center"/>
      <protection hidden="1"/>
    </xf>
    <xf numFmtId="177" fontId="0" fillId="5" borderId="38" xfId="0" applyNumberFormat="1" applyFont="1" applyFill="1" applyBorder="1" applyAlignment="1" applyProtection="1">
      <alignment horizontal="center"/>
      <protection hidden="1"/>
    </xf>
    <xf numFmtId="10" fontId="17" fillId="5" borderId="7" xfId="0" applyNumberFormat="1" applyFont="1" applyFill="1" applyBorder="1" applyAlignment="1" applyProtection="1">
      <alignment horizontal="center"/>
      <protection hidden="1"/>
    </xf>
    <xf numFmtId="172" fontId="18" fillId="5" borderId="39" xfId="0" applyNumberFormat="1" applyFont="1" applyFill="1" applyBorder="1" applyAlignment="1" applyProtection="1">
      <alignment horizontal="center"/>
      <protection hidden="1"/>
    </xf>
    <xf numFmtId="168" fontId="17" fillId="5" borderId="38" xfId="0" applyNumberFormat="1" applyFont="1" applyFill="1" applyBorder="1" applyAlignment="1" applyProtection="1">
      <alignment horizontal="center"/>
      <protection hidden="1"/>
    </xf>
    <xf numFmtId="49" fontId="17" fillId="5" borderId="6" xfId="0" applyNumberFormat="1" applyFont="1" applyFill="1" applyBorder="1" applyAlignment="1" applyProtection="1">
      <alignment horizontal="center"/>
      <protection hidden="1"/>
    </xf>
    <xf numFmtId="168" fontId="17" fillId="5" borderId="26" xfId="0" applyNumberFormat="1" applyFont="1" applyFill="1" applyBorder="1" applyAlignment="1" applyProtection="1">
      <alignment horizontal="center"/>
      <protection hidden="1"/>
    </xf>
    <xf numFmtId="164" fontId="17" fillId="5" borderId="21" xfId="0" applyNumberFormat="1" applyFont="1" applyFill="1" applyBorder="1" applyAlignment="1" applyProtection="1">
      <alignment horizontal="center"/>
      <protection hidden="1"/>
    </xf>
    <xf numFmtId="174" fontId="17" fillId="5" borderId="21" xfId="0" applyNumberFormat="1" applyFont="1" applyFill="1" applyBorder="1" applyAlignment="1" applyProtection="1">
      <alignment horizontal="center"/>
      <protection hidden="1"/>
    </xf>
    <xf numFmtId="173" fontId="17" fillId="5" borderId="26" xfId="0" applyNumberFormat="1" applyFont="1" applyFill="1" applyBorder="1" applyAlignment="1" applyProtection="1">
      <alignment horizontal="center"/>
      <protection hidden="1"/>
    </xf>
    <xf numFmtId="49" fontId="17" fillId="5" borderId="36" xfId="0" applyNumberFormat="1" applyFont="1" applyFill="1" applyBorder="1" applyAlignment="1" applyProtection="1">
      <alignment horizontal="center"/>
      <protection hidden="1"/>
    </xf>
    <xf numFmtId="10" fontId="0" fillId="5" borderId="21" xfId="0" applyNumberFormat="1" applyFont="1" applyFill="1" applyBorder="1" applyAlignment="1" applyProtection="1">
      <alignment horizontal="center"/>
      <protection hidden="1"/>
    </xf>
    <xf numFmtId="165" fontId="0" fillId="5" borderId="21" xfId="0" applyNumberFormat="1" applyFont="1" applyFill="1" applyBorder="1" applyAlignment="1" applyProtection="1">
      <alignment horizontal="center"/>
      <protection hidden="1"/>
    </xf>
    <xf numFmtId="166" fontId="0" fillId="5" borderId="21" xfId="0" applyNumberFormat="1" applyFont="1" applyFill="1" applyBorder="1" applyAlignment="1" applyProtection="1">
      <alignment horizontal="center"/>
      <protection hidden="1"/>
    </xf>
    <xf numFmtId="167" fontId="0" fillId="5" borderId="21" xfId="0" applyNumberFormat="1" applyFont="1" applyFill="1" applyBorder="1" applyAlignment="1" applyProtection="1">
      <alignment horizontal="center"/>
      <protection hidden="1"/>
    </xf>
    <xf numFmtId="175" fontId="2" fillId="5" borderId="21" xfId="0" applyNumberFormat="1" applyFont="1" applyFill="1" applyBorder="1" applyAlignment="1" applyProtection="1">
      <alignment horizontal="center"/>
      <protection hidden="1"/>
    </xf>
    <xf numFmtId="172" fontId="2" fillId="5" borderId="21" xfId="0" applyNumberFormat="1" applyFont="1" applyFill="1" applyBorder="1" applyAlignment="1" applyProtection="1">
      <alignment horizontal="center"/>
      <protection hidden="1"/>
    </xf>
    <xf numFmtId="187" fontId="2" fillId="5" borderId="39" xfId="0" applyNumberFormat="1" applyFont="1" applyFill="1" applyBorder="1" applyAlignment="1" applyProtection="1">
      <alignment horizontal="center"/>
      <protection hidden="1"/>
    </xf>
    <xf numFmtId="0" fontId="0" fillId="0" borderId="25" xfId="0" applyFont="1" applyBorder="1" applyAlignment="1" applyProtection="1">
      <alignment horizontal="left"/>
      <protection hidden="1"/>
    </xf>
    <xf numFmtId="172" fontId="32" fillId="5" borderId="35" xfId="0" applyNumberFormat="1" applyFont="1" applyFill="1" applyBorder="1" applyAlignment="1" applyProtection="1">
      <alignment horizontal="center"/>
      <protection hidden="1"/>
    </xf>
    <xf numFmtId="172" fontId="32" fillId="5" borderId="39" xfId="0" applyNumberFormat="1" applyFont="1" applyFill="1" applyBorder="1" applyAlignment="1" applyProtection="1">
      <alignment horizontal="center"/>
      <protection hidden="1"/>
    </xf>
    <xf numFmtId="168" fontId="31" fillId="5" borderId="38" xfId="0" applyNumberFormat="1" applyFont="1" applyFill="1" applyBorder="1" applyAlignment="1" applyProtection="1">
      <alignment horizontal="center"/>
      <protection hidden="1"/>
    </xf>
    <xf numFmtId="10" fontId="31" fillId="5" borderId="35" xfId="0" applyNumberFormat="1" applyFont="1" applyFill="1" applyBorder="1" applyAlignment="1" applyProtection="1">
      <alignment horizontal="center"/>
      <protection hidden="1"/>
    </xf>
    <xf numFmtId="165" fontId="31" fillId="5" borderId="35" xfId="0" applyNumberFormat="1" applyFont="1" applyFill="1" applyBorder="1" applyAlignment="1" applyProtection="1">
      <alignment horizontal="center"/>
      <protection hidden="1"/>
    </xf>
    <xf numFmtId="166" fontId="31" fillId="5" borderId="35" xfId="0" applyNumberFormat="1" applyFont="1" applyFill="1" applyBorder="1" applyAlignment="1" applyProtection="1">
      <alignment horizontal="center"/>
      <protection hidden="1"/>
    </xf>
    <xf numFmtId="167" fontId="31" fillId="5" borderId="35" xfId="0" applyNumberFormat="1" applyFont="1" applyFill="1" applyBorder="1" applyAlignment="1" applyProtection="1">
      <alignment horizontal="center"/>
      <protection hidden="1"/>
    </xf>
    <xf numFmtId="175" fontId="32" fillId="5" borderId="35" xfId="0" applyNumberFormat="1" applyFont="1" applyFill="1" applyBorder="1" applyAlignment="1" applyProtection="1">
      <alignment horizontal="center"/>
      <protection hidden="1"/>
    </xf>
    <xf numFmtId="175" fontId="32" fillId="5" borderId="39" xfId="0" applyNumberFormat="1" applyFont="1" applyFill="1" applyBorder="1" applyAlignment="1" applyProtection="1">
      <alignment horizontal="center"/>
      <protection hidden="1"/>
    </xf>
    <xf numFmtId="0" fontId="31" fillId="5" borderId="0" xfId="0" applyNumberFormat="1" applyFont="1" applyFill="1" applyAlignment="1" applyProtection="1">
      <alignment horizontal="center"/>
      <protection hidden="1"/>
    </xf>
    <xf numFmtId="176" fontId="32" fillId="5" borderId="39" xfId="0" applyNumberFormat="1" applyFont="1" applyFill="1" applyBorder="1" applyAlignment="1" applyProtection="1">
      <alignment horizontal="center"/>
      <protection hidden="1"/>
    </xf>
    <xf numFmtId="10" fontId="37" fillId="5" borderId="35" xfId="0" applyNumberFormat="1" applyFont="1" applyFill="1" applyBorder="1" applyAlignment="1" applyProtection="1">
      <alignment horizontal="center"/>
      <protection hidden="1"/>
    </xf>
    <xf numFmtId="165" fontId="37" fillId="5" borderId="35" xfId="0" applyNumberFormat="1" applyFont="1" applyFill="1" applyBorder="1" applyAlignment="1" applyProtection="1">
      <alignment horizontal="center"/>
      <protection hidden="1"/>
    </xf>
    <xf numFmtId="166" fontId="37" fillId="5" borderId="35" xfId="0" applyNumberFormat="1" applyFont="1" applyFill="1" applyBorder="1" applyAlignment="1" applyProtection="1">
      <alignment horizontal="center"/>
      <protection hidden="1"/>
    </xf>
    <xf numFmtId="167" fontId="37" fillId="5" borderId="35" xfId="0" applyNumberFormat="1" applyFont="1" applyFill="1" applyBorder="1" applyAlignment="1" applyProtection="1">
      <alignment horizontal="center"/>
      <protection hidden="1"/>
    </xf>
    <xf numFmtId="175" fontId="38" fillId="5" borderId="35" xfId="0" applyNumberFormat="1" applyFont="1" applyFill="1" applyBorder="1" applyAlignment="1" applyProtection="1">
      <alignment horizontal="center"/>
      <protection hidden="1"/>
    </xf>
    <xf numFmtId="175" fontId="38" fillId="5" borderId="39" xfId="0" applyNumberFormat="1" applyFont="1" applyFill="1" applyBorder="1" applyAlignment="1" applyProtection="1">
      <alignment horizontal="center"/>
      <protection hidden="1"/>
    </xf>
    <xf numFmtId="172" fontId="38" fillId="5" borderId="35" xfId="0" applyNumberFormat="1" applyFont="1" applyFill="1" applyBorder="1" applyAlignment="1" applyProtection="1">
      <alignment horizontal="center"/>
      <protection hidden="1"/>
    </xf>
    <xf numFmtId="172" fontId="38" fillId="5" borderId="39" xfId="0" applyNumberFormat="1" applyFont="1" applyFill="1" applyBorder="1" applyAlignment="1" applyProtection="1">
      <alignment horizontal="center"/>
      <protection hidden="1"/>
    </xf>
    <xf numFmtId="168" fontId="37" fillId="5" borderId="38" xfId="0" applyNumberFormat="1" applyFont="1" applyFill="1" applyBorder="1" applyAlignment="1" applyProtection="1">
      <alignment horizontal="center"/>
      <protection hidden="1"/>
    </xf>
    <xf numFmtId="175" fontId="38" fillId="5" borderId="0" xfId="0" applyNumberFormat="1" applyFont="1" applyFill="1" applyBorder="1" applyAlignment="1" applyProtection="1">
      <alignment horizontal="center"/>
      <protection hidden="1"/>
    </xf>
    <xf numFmtId="172" fontId="38" fillId="5" borderId="0" xfId="0" applyNumberFormat="1" applyFont="1" applyFill="1" applyBorder="1" applyAlignment="1" applyProtection="1">
      <alignment horizontal="center"/>
      <protection hidden="1"/>
    </xf>
    <xf numFmtId="0" fontId="0" fillId="0" borderId="0" xfId="0" applyAlignment="1" applyProtection="1">
      <alignment horizontal="left"/>
      <protection hidden="1"/>
    </xf>
    <xf numFmtId="165" fontId="0" fillId="0" borderId="0" xfId="0" applyNumberFormat="1" applyAlignment="1" applyProtection="1">
      <alignment horizontal="center"/>
      <protection hidden="1"/>
    </xf>
    <xf numFmtId="166" fontId="0" fillId="0" borderId="0" xfId="0" applyNumberFormat="1" applyAlignment="1" applyProtection="1">
      <alignment horizontal="center"/>
      <protection hidden="1"/>
    </xf>
    <xf numFmtId="167" fontId="0" fillId="0" borderId="0" xfId="0" applyNumberFormat="1" applyAlignment="1" applyProtection="1">
      <alignment horizontal="center"/>
      <protection hidden="1"/>
    </xf>
    <xf numFmtId="175" fontId="0" fillId="0" borderId="0" xfId="0" applyNumberFormat="1" applyAlignment="1" applyProtection="1">
      <alignment horizontal="center"/>
      <protection hidden="1"/>
    </xf>
    <xf numFmtId="172" fontId="0" fillId="0" borderId="0" xfId="0" applyNumberFormat="1" applyAlignment="1" applyProtection="1">
      <alignment horizontal="center"/>
      <protection hidden="1"/>
    </xf>
    <xf numFmtId="176" fontId="0" fillId="0" borderId="0" xfId="0" applyNumberFormat="1" applyAlignment="1" applyProtection="1">
      <alignment horizontal="center"/>
      <protection hidden="1"/>
    </xf>
    <xf numFmtId="168" fontId="0" fillId="0" borderId="0" xfId="0" applyNumberFormat="1" applyAlignment="1" applyProtection="1">
      <alignment horizontal="center"/>
      <protection hidden="1"/>
    </xf>
    <xf numFmtId="0" fontId="0" fillId="0" borderId="0" xfId="0" applyNumberFormat="1" applyAlignment="1" applyProtection="1">
      <alignment horizontal="left"/>
      <protection hidden="1"/>
    </xf>
    <xf numFmtId="0" fontId="0" fillId="0" borderId="0" xfId="0" applyNumberFormat="1" applyAlignment="1" applyProtection="1">
      <alignment horizontal="center"/>
      <protection hidden="1"/>
    </xf>
    <xf numFmtId="0" fontId="19" fillId="7" borderId="0" xfId="0" applyFont="1" applyFill="1" applyBorder="1" applyAlignment="1" applyProtection="1">
      <alignment horizontal="center" vertical="center" wrapText="1"/>
      <protection hidden="1"/>
    </xf>
    <xf numFmtId="0" fontId="0" fillId="0" borderId="0" xfId="0" applyAlignment="1" applyProtection="1">
      <alignment horizontal="center"/>
      <protection hidden="1"/>
    </xf>
    <xf numFmtId="0" fontId="5" fillId="0" borderId="0" xfId="1" applyFont="1" applyFill="1" applyBorder="1" applyAlignment="1" applyProtection="1">
      <alignment horizontal="center" vertical="center"/>
      <protection hidden="1"/>
    </xf>
    <xf numFmtId="0" fontId="0" fillId="0" borderId="0" xfId="0" applyProtection="1">
      <protection hidden="1"/>
    </xf>
    <xf numFmtId="0" fontId="0" fillId="7" borderId="0" xfId="0" applyFont="1" applyFill="1" applyBorder="1" applyAlignment="1" applyProtection="1">
      <alignment horizontal="left" vertical="center" indent="1"/>
    </xf>
    <xf numFmtId="49" fontId="0" fillId="5" borderId="35" xfId="0" applyNumberFormat="1" applyFont="1" applyFill="1" applyBorder="1" applyAlignment="1" applyProtection="1">
      <alignment horizontal="center"/>
      <protection hidden="1"/>
    </xf>
    <xf numFmtId="10" fontId="41" fillId="5" borderId="35" xfId="0" applyNumberFormat="1" applyFont="1" applyFill="1" applyBorder="1" applyAlignment="1" applyProtection="1">
      <alignment horizontal="center"/>
      <protection hidden="1"/>
    </xf>
    <xf numFmtId="165" fontId="41" fillId="5" borderId="35" xfId="0" applyNumberFormat="1" applyFont="1" applyFill="1" applyBorder="1" applyAlignment="1" applyProtection="1">
      <alignment horizontal="center"/>
      <protection hidden="1"/>
    </xf>
    <xf numFmtId="166" fontId="41" fillId="5" borderId="35" xfId="0" applyNumberFormat="1" applyFont="1" applyFill="1" applyBorder="1" applyAlignment="1" applyProtection="1">
      <alignment horizontal="center"/>
      <protection hidden="1"/>
    </xf>
    <xf numFmtId="167" fontId="41" fillId="5" borderId="35" xfId="0" applyNumberFormat="1" applyFont="1" applyFill="1" applyBorder="1" applyAlignment="1" applyProtection="1">
      <alignment horizontal="center"/>
      <protection hidden="1"/>
    </xf>
    <xf numFmtId="175" fontId="42" fillId="5" borderId="35" xfId="0" applyNumberFormat="1" applyFont="1" applyFill="1" applyBorder="1" applyAlignment="1" applyProtection="1">
      <alignment horizontal="center"/>
      <protection hidden="1"/>
    </xf>
    <xf numFmtId="172" fontId="42" fillId="5" borderId="35" xfId="0" applyNumberFormat="1" applyFont="1" applyFill="1" applyBorder="1" applyAlignment="1" applyProtection="1">
      <alignment horizontal="center"/>
      <protection hidden="1"/>
    </xf>
    <xf numFmtId="172" fontId="42" fillId="5" borderId="39" xfId="0" applyNumberFormat="1" applyFont="1" applyFill="1" applyBorder="1" applyAlignment="1" applyProtection="1">
      <alignment horizontal="center"/>
      <protection hidden="1"/>
    </xf>
    <xf numFmtId="0" fontId="41" fillId="5" borderId="0" xfId="0" applyNumberFormat="1" applyFont="1" applyFill="1" applyAlignment="1" applyProtection="1">
      <alignment horizontal="center"/>
      <protection hidden="1"/>
    </xf>
    <xf numFmtId="49" fontId="0" fillId="5" borderId="0" xfId="0" applyNumberFormat="1" applyFont="1" applyFill="1" applyBorder="1" applyAlignment="1" applyProtection="1">
      <alignment horizontal="center"/>
      <protection hidden="1"/>
    </xf>
    <xf numFmtId="175" fontId="18" fillId="5" borderId="39" xfId="0" applyNumberFormat="1" applyFont="1" applyFill="1" applyBorder="1" applyAlignment="1" applyProtection="1">
      <alignment horizontal="center"/>
      <protection hidden="1"/>
    </xf>
    <xf numFmtId="171" fontId="42" fillId="5" borderId="39" xfId="0" applyNumberFormat="1" applyFont="1" applyFill="1" applyBorder="1" applyAlignment="1" applyProtection="1">
      <alignment horizontal="center"/>
      <protection hidden="1"/>
    </xf>
    <xf numFmtId="198" fontId="42" fillId="5" borderId="39" xfId="0" applyNumberFormat="1" applyFont="1" applyFill="1" applyBorder="1" applyAlignment="1" applyProtection="1">
      <alignment horizontal="center"/>
      <protection hidden="1"/>
    </xf>
    <xf numFmtId="192" fontId="42" fillId="5" borderId="39" xfId="0" applyNumberFormat="1" applyFont="1" applyFill="1" applyBorder="1" applyAlignment="1" applyProtection="1">
      <alignment horizontal="center"/>
      <protection hidden="1"/>
    </xf>
    <xf numFmtId="173" fontId="41" fillId="5" borderId="38" xfId="0" applyNumberFormat="1" applyFont="1" applyFill="1" applyBorder="1" applyAlignment="1" applyProtection="1">
      <alignment horizontal="center"/>
      <protection hidden="1"/>
    </xf>
    <xf numFmtId="176" fontId="42" fillId="5" borderId="39" xfId="0" applyNumberFormat="1" applyFont="1" applyFill="1" applyBorder="1" applyAlignment="1" applyProtection="1">
      <alignment horizontal="center"/>
      <protection hidden="1"/>
    </xf>
    <xf numFmtId="164" fontId="41" fillId="5" borderId="35" xfId="0" applyNumberFormat="1" applyFont="1" applyFill="1" applyBorder="1" applyAlignment="1" applyProtection="1">
      <alignment horizontal="center"/>
      <protection hidden="1"/>
    </xf>
    <xf numFmtId="0" fontId="1" fillId="9" borderId="19" xfId="0" applyFont="1" applyFill="1" applyBorder="1" applyAlignment="1" applyProtection="1">
      <alignment horizontal="center"/>
    </xf>
    <xf numFmtId="0" fontId="1" fillId="9" borderId="40" xfId="0" applyFont="1" applyFill="1" applyBorder="1" applyAlignment="1" applyProtection="1">
      <alignment horizontal="center"/>
    </xf>
    <xf numFmtId="0" fontId="43" fillId="10" borderId="44" xfId="0" applyFont="1" applyFill="1" applyBorder="1" applyAlignment="1" applyProtection="1">
      <alignment horizontal="center" vertical="center" wrapText="1"/>
    </xf>
    <xf numFmtId="1" fontId="43" fillId="10" borderId="44" xfId="0" applyNumberFormat="1" applyFont="1" applyFill="1" applyBorder="1" applyAlignment="1" applyProtection="1">
      <alignment horizontal="center" vertical="center" wrapText="1"/>
    </xf>
    <xf numFmtId="0" fontId="43" fillId="10" borderId="0" xfId="0" applyNumberFormat="1" applyFont="1" applyFill="1" applyAlignment="1" applyProtection="1">
      <alignment horizontal="center" vertical="center" wrapText="1"/>
    </xf>
    <xf numFmtId="10" fontId="0" fillId="0" borderId="0" xfId="0" applyNumberFormat="1" applyFont="1" applyFill="1" applyBorder="1" applyAlignment="1" applyProtection="1">
      <alignment horizontal="center" vertical="center"/>
    </xf>
    <xf numFmtId="169" fontId="0" fillId="0" borderId="0" xfId="0" applyNumberFormat="1" applyFont="1" applyFill="1" applyBorder="1" applyAlignment="1" applyProtection="1">
      <alignment horizontal="center" vertical="center"/>
    </xf>
    <xf numFmtId="0" fontId="45" fillId="12" borderId="19" xfId="0" applyFont="1" applyFill="1" applyBorder="1" applyAlignment="1" applyProtection="1">
      <alignment horizontal="left" vertical="center" wrapText="1" indent="1"/>
    </xf>
    <xf numFmtId="0" fontId="45" fillId="12" borderId="0" xfId="0" applyFont="1" applyFill="1" applyBorder="1" applyAlignment="1" applyProtection="1">
      <alignment horizontal="left" vertical="center" wrapText="1" indent="2"/>
    </xf>
    <xf numFmtId="0" fontId="45" fillId="12" borderId="24" xfId="0" applyFont="1" applyFill="1" applyBorder="1" applyAlignment="1" applyProtection="1">
      <alignment horizontal="left" vertical="center" wrapText="1" indent="1"/>
    </xf>
    <xf numFmtId="0" fontId="45" fillId="12" borderId="5" xfId="0" applyFont="1" applyFill="1" applyBorder="1" applyAlignment="1" applyProtection="1">
      <alignment horizontal="left" vertical="center" wrapText="1" indent="2"/>
    </xf>
    <xf numFmtId="0" fontId="42" fillId="5" borderId="39" xfId="0" applyNumberFormat="1" applyFont="1" applyFill="1" applyBorder="1" applyAlignment="1" applyProtection="1">
      <alignment horizontal="center"/>
      <protection hidden="1"/>
    </xf>
    <xf numFmtId="199" fontId="42" fillId="5" borderId="39" xfId="0" applyNumberFormat="1" applyFont="1" applyFill="1" applyBorder="1" applyAlignment="1" applyProtection="1">
      <alignment horizontal="center"/>
      <protection hidden="1"/>
    </xf>
    <xf numFmtId="0" fontId="47" fillId="0" borderId="68" xfId="0" applyFont="1" applyFill="1" applyBorder="1" applyAlignment="1" applyProtection="1">
      <alignment horizontal="center" vertical="center"/>
      <protection hidden="1"/>
    </xf>
    <xf numFmtId="0" fontId="47" fillId="0" borderId="66" xfId="0" applyFont="1" applyFill="1" applyBorder="1" applyAlignment="1" applyProtection="1">
      <alignment horizontal="center" vertical="center"/>
      <protection hidden="1"/>
    </xf>
    <xf numFmtId="0" fontId="47" fillId="0" borderId="1" xfId="0" applyFont="1" applyFill="1" applyBorder="1" applyAlignment="1" applyProtection="1">
      <alignment horizontal="center" vertical="center"/>
      <protection hidden="1"/>
    </xf>
    <xf numFmtId="0" fontId="47" fillId="0" borderId="6" xfId="0" applyFont="1" applyFill="1" applyBorder="1" applyAlignment="1" applyProtection="1">
      <alignment horizontal="center" vertical="center"/>
      <protection hidden="1"/>
    </xf>
    <xf numFmtId="0" fontId="9" fillId="0" borderId="19" xfId="0" applyFont="1" applyBorder="1" applyAlignment="1" applyProtection="1">
      <alignment vertical="center"/>
      <protection hidden="1"/>
    </xf>
    <xf numFmtId="0" fontId="7" fillId="0" borderId="49" xfId="0" applyFont="1" applyBorder="1" applyAlignment="1" applyProtection="1">
      <alignment horizontal="center" vertical="center"/>
      <protection hidden="1"/>
    </xf>
    <xf numFmtId="0" fontId="7" fillId="0" borderId="0" xfId="0" applyFont="1" applyBorder="1" applyAlignment="1" applyProtection="1">
      <alignment horizontal="center" vertical="center"/>
      <protection hidden="1"/>
    </xf>
    <xf numFmtId="0" fontId="9" fillId="0" borderId="28" xfId="0" applyFont="1" applyBorder="1" applyAlignment="1" applyProtection="1">
      <alignment vertical="center"/>
      <protection hidden="1"/>
    </xf>
    <xf numFmtId="0" fontId="7" fillId="0" borderId="1" xfId="0" applyFont="1" applyBorder="1" applyAlignment="1" applyProtection="1">
      <alignment horizontal="center" vertical="center"/>
      <protection hidden="1"/>
    </xf>
    <xf numFmtId="0" fontId="7" fillId="0" borderId="35" xfId="0" applyFont="1" applyBorder="1" applyAlignment="1" applyProtection="1">
      <alignment horizontal="center" vertical="center"/>
      <protection hidden="1"/>
    </xf>
    <xf numFmtId="0" fontId="9" fillId="0" borderId="28" xfId="0" applyFont="1" applyFill="1" applyBorder="1" applyAlignment="1" applyProtection="1">
      <alignment vertical="center"/>
      <protection hidden="1"/>
    </xf>
    <xf numFmtId="0" fontId="9" fillId="0" borderId="19" xfId="0" applyFont="1" applyFill="1" applyBorder="1" applyAlignment="1" applyProtection="1">
      <alignment horizontal="left" vertical="center"/>
      <protection hidden="1"/>
    </xf>
    <xf numFmtId="0" fontId="9" fillId="0" borderId="19" xfId="0" applyFont="1" applyFill="1" applyBorder="1" applyAlignment="1" applyProtection="1">
      <alignment vertical="center"/>
      <protection hidden="1"/>
    </xf>
    <xf numFmtId="0" fontId="9" fillId="0" borderId="28" xfId="0" applyFont="1" applyFill="1" applyBorder="1" applyAlignment="1" applyProtection="1">
      <alignment horizontal="left" vertical="center"/>
      <protection hidden="1"/>
    </xf>
    <xf numFmtId="0" fontId="7" fillId="0" borderId="1" xfId="0" applyFont="1" applyBorder="1" applyAlignment="1" applyProtection="1">
      <alignment horizontal="center" vertical="center" wrapText="1"/>
      <protection hidden="1"/>
    </xf>
    <xf numFmtId="0" fontId="9" fillId="0" borderId="24" xfId="0" applyFont="1" applyFill="1" applyBorder="1" applyAlignment="1" applyProtection="1">
      <alignment vertical="center"/>
      <protection hidden="1"/>
    </xf>
    <xf numFmtId="0" fontId="7" fillId="0" borderId="16" xfId="0" applyFont="1" applyBorder="1" applyAlignment="1" applyProtection="1">
      <alignment horizontal="center" vertical="center"/>
      <protection hidden="1"/>
    </xf>
    <xf numFmtId="0" fontId="7" fillId="0" borderId="5" xfId="0" applyFont="1" applyBorder="1" applyAlignment="1" applyProtection="1">
      <alignment horizontal="center" vertical="center"/>
      <protection hidden="1"/>
    </xf>
    <xf numFmtId="0" fontId="47" fillId="0" borderId="35" xfId="0" applyFont="1" applyFill="1" applyBorder="1" applyAlignment="1" applyProtection="1">
      <alignment horizontal="left" vertical="center"/>
      <protection hidden="1"/>
    </xf>
    <xf numFmtId="0" fontId="47" fillId="0" borderId="8" xfId="0" applyFont="1" applyFill="1" applyBorder="1" applyAlignment="1" applyProtection="1">
      <alignment horizontal="left" vertical="center"/>
      <protection hidden="1"/>
    </xf>
    <xf numFmtId="0" fontId="47" fillId="0" borderId="18" xfId="0" applyFont="1" applyFill="1" applyBorder="1" applyAlignment="1" applyProtection="1">
      <alignment horizontal="left" vertical="center"/>
      <protection hidden="1"/>
    </xf>
    <xf numFmtId="0" fontId="47" fillId="0" borderId="64" xfId="0" applyFont="1" applyFill="1" applyBorder="1" applyAlignment="1" applyProtection="1">
      <alignment horizontal="left" vertical="center"/>
      <protection hidden="1"/>
    </xf>
    <xf numFmtId="0" fontId="46" fillId="0" borderId="42" xfId="0" applyFont="1" applyFill="1" applyBorder="1" applyAlignment="1" applyProtection="1">
      <alignment horizontal="left" vertical="center"/>
      <protection hidden="1"/>
    </xf>
    <xf numFmtId="0" fontId="46" fillId="0" borderId="2" xfId="0" applyFont="1" applyFill="1" applyBorder="1" applyAlignment="1" applyProtection="1">
      <alignment horizontal="left" vertical="center"/>
      <protection hidden="1"/>
    </xf>
    <xf numFmtId="0" fontId="46" fillId="0" borderId="2" xfId="0" applyFont="1" applyFill="1" applyBorder="1" applyAlignment="1" applyProtection="1">
      <alignment horizontal="left" vertical="center" wrapText="1"/>
      <protection hidden="1"/>
    </xf>
    <xf numFmtId="0" fontId="48" fillId="0" borderId="6" xfId="1" applyFont="1" applyFill="1" applyBorder="1" applyAlignment="1" applyProtection="1">
      <alignment horizontal="left" vertical="center"/>
      <protection hidden="1"/>
    </xf>
    <xf numFmtId="0" fontId="48" fillId="0" borderId="66" xfId="1" applyFont="1" applyFill="1" applyBorder="1" applyAlignment="1" applyProtection="1">
      <alignment horizontal="left" vertical="center"/>
      <protection hidden="1"/>
    </xf>
    <xf numFmtId="0" fontId="3" fillId="0" borderId="5" xfId="0" applyFont="1" applyFill="1" applyBorder="1" applyAlignment="1" applyProtection="1">
      <alignment horizontal="left"/>
      <protection hidden="1"/>
    </xf>
    <xf numFmtId="0" fontId="6" fillId="0" borderId="0" xfId="0" applyFont="1" applyFill="1" applyAlignment="1" applyProtection="1">
      <alignment horizontal="left"/>
      <protection hidden="1"/>
    </xf>
    <xf numFmtId="0" fontId="5" fillId="0" borderId="0" xfId="1" applyFont="1" applyFill="1" applyAlignment="1" applyProtection="1">
      <alignment horizontal="left"/>
      <protection hidden="1"/>
    </xf>
    <xf numFmtId="0" fontId="5" fillId="0" borderId="0" xfId="1" quotePrefix="1" applyFont="1" applyFill="1" applyAlignment="1" applyProtection="1">
      <alignment horizontal="left"/>
      <protection hidden="1"/>
    </xf>
    <xf numFmtId="0" fontId="0" fillId="0" borderId="0" xfId="0" applyAlignment="1" applyProtection="1">
      <alignment horizontal="center"/>
      <protection hidden="1"/>
    </xf>
    <xf numFmtId="0" fontId="0" fillId="3" borderId="0" xfId="0" applyFill="1" applyAlignment="1" applyProtection="1">
      <alignment horizontal="center"/>
      <protection hidden="1"/>
    </xf>
    <xf numFmtId="0" fontId="48" fillId="0" borderId="9" xfId="1" applyFont="1" applyFill="1" applyBorder="1" applyAlignment="1" applyProtection="1">
      <alignment horizontal="left" vertical="center"/>
      <protection hidden="1"/>
    </xf>
    <xf numFmtId="0" fontId="48" fillId="0" borderId="10" xfId="1" applyFont="1" applyFill="1" applyBorder="1" applyAlignment="1" applyProtection="1">
      <alignment horizontal="left" vertical="center"/>
      <protection hidden="1"/>
    </xf>
    <xf numFmtId="0" fontId="48" fillId="0" borderId="11" xfId="1" applyFont="1" applyFill="1" applyBorder="1" applyAlignment="1" applyProtection="1">
      <alignment horizontal="left" vertical="center"/>
      <protection hidden="1"/>
    </xf>
    <xf numFmtId="0" fontId="27" fillId="0" borderId="6" xfId="1" applyFont="1" applyFill="1" applyBorder="1" applyAlignment="1" applyProtection="1">
      <alignment horizontal="left" vertical="center"/>
      <protection hidden="1"/>
    </xf>
    <xf numFmtId="0" fontId="27" fillId="0" borderId="35" xfId="1" applyFont="1" applyFill="1" applyBorder="1" applyAlignment="1" applyProtection="1">
      <alignment horizontal="left" vertical="center"/>
      <protection hidden="1"/>
    </xf>
    <xf numFmtId="0" fontId="27" fillId="0" borderId="8" xfId="1" applyFont="1" applyFill="1" applyBorder="1" applyAlignment="1" applyProtection="1">
      <alignment horizontal="left" vertical="center"/>
      <protection hidden="1"/>
    </xf>
    <xf numFmtId="0" fontId="27" fillId="0" borderId="12" xfId="1" applyFont="1" applyFill="1" applyBorder="1" applyAlignment="1" applyProtection="1">
      <alignment horizontal="left" vertical="center"/>
      <protection hidden="1"/>
    </xf>
    <xf numFmtId="0" fontId="27" fillId="0" borderId="13" xfId="1" applyFont="1" applyFill="1" applyBorder="1" applyAlignment="1" applyProtection="1">
      <alignment horizontal="left" vertical="center"/>
      <protection hidden="1"/>
    </xf>
    <xf numFmtId="0" fontId="27" fillId="0" borderId="14" xfId="1" applyFont="1" applyFill="1" applyBorder="1" applyAlignment="1" applyProtection="1">
      <alignment horizontal="left" vertical="center"/>
      <protection hidden="1"/>
    </xf>
    <xf numFmtId="0" fontId="30" fillId="3" borderId="15" xfId="0" applyFont="1" applyFill="1" applyBorder="1" applyAlignment="1" applyProtection="1">
      <alignment horizontal="center"/>
      <protection hidden="1"/>
    </xf>
    <xf numFmtId="0" fontId="30" fillId="3" borderId="3" xfId="0" applyFont="1" applyFill="1" applyBorder="1" applyAlignment="1" applyProtection="1">
      <alignment horizontal="center"/>
      <protection hidden="1"/>
    </xf>
    <xf numFmtId="0" fontId="30" fillId="3" borderId="4" xfId="0" applyFont="1" applyFill="1" applyBorder="1" applyAlignment="1" applyProtection="1">
      <alignment horizontal="center"/>
      <protection hidden="1"/>
    </xf>
    <xf numFmtId="0" fontId="7" fillId="0" borderId="0" xfId="0" applyFont="1" applyFill="1" applyAlignment="1" applyProtection="1">
      <alignment horizontal="center"/>
      <protection hidden="1"/>
    </xf>
    <xf numFmtId="0" fontId="27" fillId="0" borderId="0" xfId="1" quotePrefix="1" applyFont="1" applyFill="1" applyAlignment="1" applyProtection="1">
      <alignment horizontal="left"/>
      <protection hidden="1"/>
    </xf>
    <xf numFmtId="0" fontId="9" fillId="0" borderId="0" xfId="0" applyFont="1" applyFill="1" applyAlignment="1" applyProtection="1">
      <alignment horizontal="left"/>
      <protection hidden="1"/>
    </xf>
    <xf numFmtId="0" fontId="6" fillId="3" borderId="0" xfId="0" applyFont="1" applyFill="1" applyAlignment="1" applyProtection="1">
      <alignment horizontal="center"/>
      <protection hidden="1"/>
    </xf>
    <xf numFmtId="0" fontId="9" fillId="0" borderId="0" xfId="0" applyFont="1" applyFill="1" applyAlignment="1" applyProtection="1">
      <alignment horizontal="center"/>
      <protection hidden="1"/>
    </xf>
    <xf numFmtId="0" fontId="27" fillId="0" borderId="66" xfId="1" applyFont="1" applyFill="1" applyBorder="1" applyAlignment="1" applyProtection="1">
      <alignment horizontal="left" vertical="center"/>
      <protection hidden="1"/>
    </xf>
    <xf numFmtId="0" fontId="27" fillId="0" borderId="18" xfId="1" applyFont="1" applyFill="1" applyBorder="1" applyAlignment="1" applyProtection="1">
      <alignment horizontal="left" vertical="center"/>
      <protection hidden="1"/>
    </xf>
    <xf numFmtId="0" fontId="27" fillId="0" borderId="64" xfId="1" applyFont="1" applyFill="1" applyBorder="1" applyAlignment="1" applyProtection="1">
      <alignment horizontal="left" vertical="center"/>
      <protection hidden="1"/>
    </xf>
    <xf numFmtId="0" fontId="27" fillId="0" borderId="36" xfId="1" applyFont="1" applyFill="1" applyBorder="1" applyAlignment="1" applyProtection="1">
      <alignment horizontal="left" vertical="center"/>
      <protection hidden="1"/>
    </xf>
    <xf numFmtId="0" fontId="27" fillId="0" borderId="0" xfId="1" applyFont="1" applyFill="1" applyBorder="1" applyAlignment="1" applyProtection="1">
      <alignment horizontal="left" vertical="center"/>
      <protection hidden="1"/>
    </xf>
    <xf numFmtId="0" fontId="27" fillId="0" borderId="40" xfId="1" applyFont="1" applyFill="1" applyBorder="1" applyAlignment="1" applyProtection="1">
      <alignment horizontal="left" vertical="center"/>
      <protection hidden="1"/>
    </xf>
    <xf numFmtId="0" fontId="0" fillId="0" borderId="75" xfId="0" applyFont="1" applyFill="1" applyBorder="1" applyAlignment="1" applyProtection="1">
      <alignment horizontal="left" vertical="center" indent="1"/>
      <protection hidden="1"/>
    </xf>
    <xf numFmtId="0" fontId="0" fillId="0" borderId="26" xfId="0" applyFont="1" applyFill="1" applyBorder="1" applyAlignment="1" applyProtection="1">
      <alignment horizontal="left" vertical="center" indent="1"/>
      <protection hidden="1"/>
    </xf>
    <xf numFmtId="0" fontId="0" fillId="0" borderId="66" xfId="0" applyFont="1" applyFill="1" applyBorder="1" applyAlignment="1" applyProtection="1">
      <alignment horizontal="left" vertical="center" indent="1"/>
      <protection hidden="1"/>
    </xf>
    <xf numFmtId="0" fontId="0" fillId="0" borderId="20" xfId="0" applyFont="1" applyFill="1" applyBorder="1" applyAlignment="1" applyProtection="1">
      <alignment horizontal="left" vertical="center" indent="1"/>
      <protection hidden="1"/>
    </xf>
    <xf numFmtId="0" fontId="0" fillId="0" borderId="39" xfId="0" applyBorder="1" applyAlignment="1" applyProtection="1">
      <alignment horizontal="left" vertical="center" wrapText="1" indent="1"/>
      <protection hidden="1"/>
    </xf>
    <xf numFmtId="0" fontId="0" fillId="0" borderId="26" xfId="0" applyBorder="1" applyAlignment="1" applyProtection="1">
      <alignment horizontal="left" vertical="center" wrapText="1" indent="1"/>
      <protection hidden="1"/>
    </xf>
    <xf numFmtId="0" fontId="0" fillId="0" borderId="18" xfId="0" applyBorder="1" applyAlignment="1" applyProtection="1">
      <alignment horizontal="left" vertical="center" wrapText="1" indent="1"/>
      <protection hidden="1"/>
    </xf>
    <xf numFmtId="0" fontId="0" fillId="0" borderId="20" xfId="0" applyBorder="1" applyAlignment="1" applyProtection="1">
      <alignment horizontal="left" vertical="center" wrapText="1" indent="1"/>
      <protection hidden="1"/>
    </xf>
    <xf numFmtId="0" fontId="0" fillId="0" borderId="6" xfId="0" applyFont="1" applyFill="1" applyBorder="1" applyAlignment="1" applyProtection="1">
      <alignment horizontal="left" vertical="center" wrapText="1" indent="1"/>
      <protection hidden="1"/>
    </xf>
    <xf numFmtId="0" fontId="0" fillId="0" borderId="35" xfId="0" applyFont="1" applyFill="1" applyBorder="1" applyAlignment="1" applyProtection="1">
      <alignment horizontal="left" vertical="center" wrapText="1" indent="1"/>
      <protection hidden="1"/>
    </xf>
    <xf numFmtId="0" fontId="0" fillId="0" borderId="38" xfId="0" applyFont="1" applyFill="1" applyBorder="1" applyAlignment="1" applyProtection="1">
      <alignment horizontal="left" vertical="center" wrapText="1" indent="1"/>
      <protection hidden="1"/>
    </xf>
    <xf numFmtId="0" fontId="0" fillId="0" borderId="6" xfId="0" applyFill="1" applyBorder="1" applyAlignment="1" applyProtection="1">
      <alignment horizontal="left" vertical="center" wrapText="1" indent="1"/>
      <protection hidden="1"/>
    </xf>
    <xf numFmtId="0" fontId="0" fillId="0" borderId="35" xfId="0" applyFill="1" applyBorder="1" applyAlignment="1" applyProtection="1">
      <alignment horizontal="left" vertical="center" wrapText="1" indent="1"/>
      <protection hidden="1"/>
    </xf>
    <xf numFmtId="0" fontId="0" fillId="0" borderId="38" xfId="0" applyFill="1" applyBorder="1" applyAlignment="1" applyProtection="1">
      <alignment horizontal="left" vertical="center" wrapText="1" indent="1"/>
      <protection hidden="1"/>
    </xf>
    <xf numFmtId="0" fontId="0" fillId="0" borderId="75" xfId="0" applyBorder="1" applyAlignment="1" applyProtection="1">
      <alignment horizontal="left" vertical="center" wrapText="1" indent="1"/>
      <protection hidden="1"/>
    </xf>
    <xf numFmtId="0" fontId="0" fillId="0" borderId="36" xfId="0" applyFont="1" applyFill="1" applyBorder="1" applyAlignment="1" applyProtection="1">
      <alignment horizontal="left" vertical="center" indent="1"/>
      <protection hidden="1"/>
    </xf>
    <xf numFmtId="0" fontId="0" fillId="0" borderId="25" xfId="0" applyFont="1" applyFill="1" applyBorder="1" applyAlignment="1" applyProtection="1">
      <alignment horizontal="left" vertical="center" indent="1"/>
      <protection hidden="1"/>
    </xf>
    <xf numFmtId="0" fontId="0" fillId="0" borderId="75" xfId="0" applyFill="1" applyBorder="1" applyAlignment="1" applyProtection="1">
      <alignment horizontal="left" vertical="center" wrapText="1" indent="1"/>
      <protection hidden="1"/>
    </xf>
    <xf numFmtId="0" fontId="0" fillId="0" borderId="39" xfId="0" applyFill="1" applyBorder="1" applyAlignment="1" applyProtection="1">
      <alignment horizontal="left" vertical="center" wrapText="1" indent="1"/>
      <protection hidden="1"/>
    </xf>
    <xf numFmtId="0" fontId="0" fillId="0" borderId="26" xfId="0" applyFill="1" applyBorder="1" applyAlignment="1" applyProtection="1">
      <alignment horizontal="left" vertical="center" wrapText="1" indent="1"/>
      <protection hidden="1"/>
    </xf>
    <xf numFmtId="0" fontId="0" fillId="0" borderId="36" xfId="0" applyFill="1" applyBorder="1" applyAlignment="1" applyProtection="1">
      <alignment horizontal="left" vertical="center" wrapText="1" indent="1"/>
      <protection hidden="1"/>
    </xf>
    <xf numFmtId="0" fontId="0" fillId="0" borderId="0" xfId="0" applyFill="1" applyBorder="1" applyAlignment="1" applyProtection="1">
      <alignment horizontal="left" vertical="center" wrapText="1" indent="1"/>
      <protection hidden="1"/>
    </xf>
    <xf numFmtId="0" fontId="0" fillId="0" borderId="25" xfId="0" applyFill="1" applyBorder="1" applyAlignment="1" applyProtection="1">
      <alignment horizontal="left" vertical="center" wrapText="1" indent="1"/>
      <protection hidden="1"/>
    </xf>
    <xf numFmtId="0" fontId="0" fillId="0" borderId="66" xfId="0" applyFill="1" applyBorder="1" applyAlignment="1" applyProtection="1">
      <alignment horizontal="left" vertical="center" wrapText="1" indent="1"/>
      <protection hidden="1"/>
    </xf>
    <xf numFmtId="0" fontId="0" fillId="0" borderId="18" xfId="0" applyFill="1" applyBorder="1" applyAlignment="1" applyProtection="1">
      <alignment horizontal="left" vertical="center" wrapText="1" indent="1"/>
      <protection hidden="1"/>
    </xf>
    <xf numFmtId="0" fontId="0" fillId="0" borderId="20" xfId="0" applyFill="1" applyBorder="1" applyAlignment="1" applyProtection="1">
      <alignment horizontal="left" vertical="center" wrapText="1" indent="1"/>
      <protection hidden="1"/>
    </xf>
    <xf numFmtId="0" fontId="35" fillId="0" borderId="41" xfId="0" applyFont="1" applyFill="1" applyBorder="1" applyAlignment="1" applyProtection="1">
      <alignment horizontal="center" vertical="center" wrapText="1"/>
      <protection hidden="1"/>
    </xf>
    <xf numFmtId="0" fontId="35" fillId="0" borderId="49" xfId="0" applyFont="1" applyFill="1" applyBorder="1" applyAlignment="1" applyProtection="1">
      <alignment horizontal="center" vertical="center" wrapText="1"/>
      <protection hidden="1"/>
    </xf>
    <xf numFmtId="0" fontId="35" fillId="0" borderId="68" xfId="0" applyFont="1" applyFill="1" applyBorder="1" applyAlignment="1" applyProtection="1">
      <alignment horizontal="center" vertical="center" wrapText="1"/>
      <protection hidden="1"/>
    </xf>
    <xf numFmtId="0" fontId="5" fillId="0" borderId="0" xfId="1" applyFont="1" applyFill="1" applyBorder="1" applyAlignment="1" applyProtection="1">
      <alignment horizontal="center" vertical="center"/>
      <protection hidden="1"/>
    </xf>
    <xf numFmtId="0" fontId="35" fillId="0" borderId="41" xfId="0" applyFont="1" applyBorder="1" applyAlignment="1" applyProtection="1">
      <alignment horizontal="center" vertical="center" wrapText="1"/>
      <protection hidden="1"/>
    </xf>
    <xf numFmtId="0" fontId="35" fillId="0" borderId="49" xfId="0" applyFont="1" applyBorder="1" applyAlignment="1" applyProtection="1">
      <alignment horizontal="center" vertical="center" wrapText="1"/>
      <protection hidden="1"/>
    </xf>
    <xf numFmtId="0" fontId="35" fillId="0" borderId="68" xfId="0" applyFont="1" applyBorder="1" applyAlignment="1" applyProtection="1">
      <alignment horizontal="center" vertical="center" wrapText="1"/>
      <protection hidden="1"/>
    </xf>
    <xf numFmtId="0" fontId="0" fillId="0" borderId="6" xfId="0" applyBorder="1" applyAlignment="1" applyProtection="1">
      <alignment horizontal="left" vertical="center" wrapText="1" indent="1"/>
      <protection hidden="1"/>
    </xf>
    <xf numFmtId="0" fontId="0" fillId="0" borderId="35" xfId="0" applyBorder="1" applyAlignment="1" applyProtection="1">
      <alignment horizontal="left" vertical="center" wrapText="1" indent="1"/>
      <protection hidden="1"/>
    </xf>
    <xf numFmtId="0" fontId="0" fillId="0" borderId="38" xfId="0" applyBorder="1" applyAlignment="1" applyProtection="1">
      <alignment horizontal="left" vertical="center" wrapText="1" indent="1"/>
      <protection hidden="1"/>
    </xf>
    <xf numFmtId="0" fontId="0" fillId="0" borderId="66" xfId="0" applyBorder="1" applyAlignment="1" applyProtection="1">
      <alignment horizontal="left" vertical="center" wrapText="1" indent="1"/>
      <protection hidden="1"/>
    </xf>
    <xf numFmtId="0" fontId="0" fillId="7" borderId="75" xfId="0" applyFill="1" applyBorder="1" applyAlignment="1" applyProtection="1">
      <alignment horizontal="left" vertical="top" wrapText="1" indent="1"/>
      <protection hidden="1"/>
    </xf>
    <xf numFmtId="0" fontId="0" fillId="7" borderId="39" xfId="0" applyFill="1" applyBorder="1" applyAlignment="1" applyProtection="1">
      <alignment horizontal="left" vertical="top" wrapText="1" indent="1"/>
      <protection hidden="1"/>
    </xf>
    <xf numFmtId="0" fontId="0" fillId="7" borderId="26" xfId="0" applyFill="1" applyBorder="1" applyAlignment="1" applyProtection="1">
      <alignment horizontal="left" vertical="top" wrapText="1" indent="1"/>
      <protection hidden="1"/>
    </xf>
    <xf numFmtId="0" fontId="0" fillId="7" borderId="36" xfId="0" applyFill="1" applyBorder="1" applyAlignment="1" applyProtection="1">
      <alignment horizontal="left" vertical="top" wrapText="1" indent="1"/>
      <protection hidden="1"/>
    </xf>
    <xf numFmtId="0" fontId="0" fillId="7" borderId="0" xfId="0" applyFill="1" applyBorder="1" applyAlignment="1" applyProtection="1">
      <alignment horizontal="left" vertical="top" wrapText="1" indent="1"/>
      <protection hidden="1"/>
    </xf>
    <xf numFmtId="0" fontId="0" fillId="7" borderId="25" xfId="0" applyFill="1" applyBorder="1" applyAlignment="1" applyProtection="1">
      <alignment horizontal="left" vertical="top" wrapText="1" indent="1"/>
      <protection hidden="1"/>
    </xf>
    <xf numFmtId="0" fontId="0" fillId="7" borderId="66" xfId="0" applyFill="1" applyBorder="1" applyAlignment="1" applyProtection="1">
      <alignment horizontal="left" vertical="top" wrapText="1" indent="1"/>
      <protection hidden="1"/>
    </xf>
    <xf numFmtId="0" fontId="0" fillId="7" borderId="18" xfId="0" applyFill="1" applyBorder="1" applyAlignment="1" applyProtection="1">
      <alignment horizontal="left" vertical="top" wrapText="1" indent="1"/>
      <protection hidden="1"/>
    </xf>
    <xf numFmtId="0" fontId="0" fillId="7" borderId="20" xfId="0" applyFill="1" applyBorder="1" applyAlignment="1" applyProtection="1">
      <alignment horizontal="left" vertical="top" wrapText="1" indent="1"/>
      <protection hidden="1"/>
    </xf>
    <xf numFmtId="0" fontId="0" fillId="0" borderId="75" xfId="0" applyFill="1" applyBorder="1" applyAlignment="1" applyProtection="1">
      <alignment horizontal="left" wrapText="1" indent="1"/>
      <protection hidden="1"/>
    </xf>
    <xf numFmtId="0" fontId="0" fillId="0" borderId="39" xfId="0" applyFill="1" applyBorder="1" applyAlignment="1" applyProtection="1">
      <alignment horizontal="left" wrapText="1" indent="1"/>
      <protection hidden="1"/>
    </xf>
    <xf numFmtId="0" fontId="0" fillId="0" borderId="26" xfId="0" applyFill="1" applyBorder="1" applyAlignment="1" applyProtection="1">
      <alignment horizontal="left" wrapText="1" indent="1"/>
      <protection hidden="1"/>
    </xf>
    <xf numFmtId="0" fontId="0" fillId="0" borderId="66" xfId="0" applyFill="1" applyBorder="1" applyAlignment="1" applyProtection="1">
      <alignment horizontal="left" wrapText="1" indent="1"/>
      <protection hidden="1"/>
    </xf>
    <xf numFmtId="0" fontId="0" fillId="0" borderId="18" xfId="0" applyFill="1" applyBorder="1" applyAlignment="1" applyProtection="1">
      <alignment horizontal="left" wrapText="1" indent="1"/>
      <protection hidden="1"/>
    </xf>
    <xf numFmtId="0" fontId="0" fillId="0" borderId="20" xfId="0" applyFill="1" applyBorder="1" applyAlignment="1" applyProtection="1">
      <alignment horizontal="left" wrapText="1" indent="1"/>
      <protection hidden="1"/>
    </xf>
    <xf numFmtId="0" fontId="0" fillId="0" borderId="75" xfId="0" applyFill="1" applyBorder="1" applyAlignment="1" applyProtection="1">
      <alignment horizontal="left" vertical="center" indent="1"/>
      <protection hidden="1"/>
    </xf>
    <xf numFmtId="0" fontId="0" fillId="0" borderId="39" xfId="0" applyFill="1" applyBorder="1" applyAlignment="1" applyProtection="1">
      <alignment horizontal="left" vertical="center" indent="1"/>
      <protection hidden="1"/>
    </xf>
    <xf numFmtId="0" fontId="0" fillId="0" borderId="26" xfId="0" applyFill="1" applyBorder="1" applyAlignment="1" applyProtection="1">
      <alignment horizontal="left" vertical="center" indent="1"/>
      <protection hidden="1"/>
    </xf>
    <xf numFmtId="0" fontId="0" fillId="0" borderId="66" xfId="0" applyFill="1" applyBorder="1" applyAlignment="1" applyProtection="1">
      <alignment horizontal="left" vertical="center" indent="1"/>
      <protection hidden="1"/>
    </xf>
    <xf numFmtId="0" fontId="0" fillId="0" borderId="18" xfId="0" applyFill="1" applyBorder="1" applyAlignment="1" applyProtection="1">
      <alignment horizontal="left" vertical="center" indent="1"/>
      <protection hidden="1"/>
    </xf>
    <xf numFmtId="0" fontId="0" fillId="0" borderId="20" xfId="0" applyFill="1" applyBorder="1" applyAlignment="1" applyProtection="1">
      <alignment horizontal="left" vertical="center" indent="1"/>
      <protection hidden="1"/>
    </xf>
    <xf numFmtId="0" fontId="0" fillId="0" borderId="75" xfId="0" applyFont="1" applyFill="1" applyBorder="1" applyAlignment="1" applyProtection="1">
      <alignment horizontal="left" vertical="center" wrapText="1" indent="1"/>
      <protection hidden="1"/>
    </xf>
    <xf numFmtId="0" fontId="0" fillId="0" borderId="39" xfId="0" applyFont="1" applyFill="1" applyBorder="1" applyAlignment="1" applyProtection="1">
      <alignment horizontal="left" vertical="center" wrapText="1" indent="1"/>
      <protection hidden="1"/>
    </xf>
    <xf numFmtId="0" fontId="0" fillId="0" borderId="26" xfId="0" applyFont="1" applyFill="1" applyBorder="1" applyAlignment="1" applyProtection="1">
      <alignment horizontal="left" vertical="center" wrapText="1" indent="1"/>
      <protection hidden="1"/>
    </xf>
    <xf numFmtId="0" fontId="0" fillId="0" borderId="66" xfId="0" applyFont="1" applyFill="1" applyBorder="1" applyAlignment="1" applyProtection="1">
      <alignment horizontal="left" vertical="center" wrapText="1" indent="1"/>
      <protection hidden="1"/>
    </xf>
    <xf numFmtId="0" fontId="0" fillId="0" borderId="18" xfId="0" applyFont="1" applyFill="1" applyBorder="1" applyAlignment="1" applyProtection="1">
      <alignment horizontal="left" vertical="center" wrapText="1" indent="1"/>
      <protection hidden="1"/>
    </xf>
    <xf numFmtId="0" fontId="0" fillId="0" borderId="20" xfId="0" applyFont="1" applyFill="1" applyBorder="1" applyAlignment="1" applyProtection="1">
      <alignment horizontal="left" vertical="center" wrapText="1" indent="1"/>
      <protection hidden="1"/>
    </xf>
    <xf numFmtId="0" fontId="1" fillId="15" borderId="15" xfId="0" applyFont="1" applyFill="1" applyBorder="1" applyAlignment="1" applyProtection="1">
      <alignment horizontal="center" vertical="center"/>
    </xf>
    <xf numFmtId="0" fontId="1" fillId="15" borderId="4" xfId="0" applyFont="1" applyFill="1" applyBorder="1" applyAlignment="1" applyProtection="1">
      <alignment horizontal="center" vertical="center"/>
    </xf>
    <xf numFmtId="0" fontId="1" fillId="9" borderId="15" xfId="0" applyFont="1" applyFill="1" applyBorder="1" applyAlignment="1" applyProtection="1">
      <alignment horizontal="center"/>
    </xf>
    <xf numFmtId="0" fontId="1" fillId="9" borderId="4" xfId="0" applyFont="1" applyFill="1" applyBorder="1" applyAlignment="1" applyProtection="1">
      <alignment horizontal="center"/>
    </xf>
    <xf numFmtId="0" fontId="1" fillId="9" borderId="15" xfId="0" quotePrefix="1" applyFont="1" applyFill="1" applyBorder="1" applyAlignment="1" applyProtection="1">
      <alignment horizontal="center"/>
    </xf>
    <xf numFmtId="0" fontId="1" fillId="9" borderId="4" xfId="0" quotePrefix="1" applyFont="1" applyFill="1" applyBorder="1" applyAlignment="1" applyProtection="1">
      <alignment horizontal="center"/>
    </xf>
    <xf numFmtId="169" fontId="0" fillId="5" borderId="36" xfId="0" applyNumberFormat="1" applyFont="1" applyFill="1" applyBorder="1" applyAlignment="1" applyProtection="1">
      <alignment horizontal="center" vertical="center"/>
    </xf>
    <xf numFmtId="169" fontId="0" fillId="5" borderId="25" xfId="0" applyNumberFormat="1" applyFont="1" applyFill="1" applyBorder="1" applyAlignment="1" applyProtection="1">
      <alignment horizontal="center" vertical="center"/>
    </xf>
    <xf numFmtId="190" fontId="0" fillId="5" borderId="65" xfId="0" applyNumberFormat="1" applyFont="1" applyFill="1" applyBorder="1" applyAlignment="1" applyProtection="1">
      <alignment horizontal="center" vertical="center"/>
    </xf>
    <xf numFmtId="190" fontId="0" fillId="5" borderId="23" xfId="0" applyNumberFormat="1" applyFont="1" applyFill="1" applyBorder="1" applyAlignment="1" applyProtection="1">
      <alignment horizontal="center" vertical="center"/>
    </xf>
    <xf numFmtId="197" fontId="0" fillId="5" borderId="36" xfId="0" applyNumberFormat="1" applyFont="1" applyFill="1" applyBorder="1" applyAlignment="1" applyProtection="1">
      <alignment horizontal="center" vertical="center"/>
    </xf>
    <xf numFmtId="197" fontId="0" fillId="5" borderId="40" xfId="0" applyNumberFormat="1" applyFont="1" applyFill="1" applyBorder="1" applyAlignment="1" applyProtection="1">
      <alignment horizontal="center" vertical="center"/>
    </xf>
    <xf numFmtId="197" fontId="0" fillId="5" borderId="66" xfId="0" applyNumberFormat="1" applyFont="1" applyFill="1" applyBorder="1" applyAlignment="1" applyProtection="1">
      <alignment horizontal="center" vertical="center"/>
    </xf>
    <xf numFmtId="197" fontId="0" fillId="5" borderId="64" xfId="0" applyNumberFormat="1" applyFont="1" applyFill="1" applyBorder="1" applyAlignment="1" applyProtection="1">
      <alignment horizontal="center" vertical="center"/>
    </xf>
    <xf numFmtId="169" fontId="0" fillId="5" borderId="40" xfId="0" applyNumberFormat="1" applyFont="1" applyFill="1" applyBorder="1" applyAlignment="1" applyProtection="1">
      <alignment horizontal="center" vertical="center"/>
    </xf>
    <xf numFmtId="1" fontId="0" fillId="5" borderId="0" xfId="0" applyNumberFormat="1" applyFont="1" applyFill="1" applyBorder="1" applyAlignment="1" applyProtection="1">
      <alignment horizontal="center" vertical="center"/>
    </xf>
    <xf numFmtId="0" fontId="45" fillId="12" borderId="19" xfId="0" applyFont="1" applyFill="1" applyBorder="1" applyAlignment="1" applyProtection="1">
      <alignment horizontal="left" vertical="center" wrapText="1" indent="1"/>
    </xf>
    <xf numFmtId="0" fontId="45" fillId="12" borderId="0" xfId="0" applyFont="1" applyFill="1" applyBorder="1" applyAlignment="1" applyProtection="1">
      <alignment horizontal="left" vertical="center" wrapText="1" indent="1"/>
    </xf>
    <xf numFmtId="0" fontId="0" fillId="12" borderId="19" xfId="0" applyFont="1" applyFill="1" applyBorder="1" applyAlignment="1" applyProtection="1">
      <alignment horizontal="center" vertical="center"/>
    </xf>
    <xf numFmtId="0" fontId="0" fillId="12" borderId="25" xfId="0" applyFont="1" applyFill="1" applyBorder="1" applyAlignment="1" applyProtection="1">
      <alignment horizontal="center" vertical="center"/>
    </xf>
    <xf numFmtId="0" fontId="35" fillId="7" borderId="0" xfId="0" applyFont="1" applyFill="1" applyBorder="1" applyAlignment="1" applyProtection="1">
      <alignment horizontal="left" vertical="center" indent="1"/>
    </xf>
    <xf numFmtId="0" fontId="35" fillId="0" borderId="0" xfId="0" applyFont="1" applyBorder="1" applyAlignment="1" applyProtection="1">
      <alignment horizontal="left" indent="1"/>
    </xf>
    <xf numFmtId="0" fontId="36" fillId="14" borderId="33" xfId="0" applyFont="1" applyFill="1" applyBorder="1" applyAlignment="1" applyProtection="1">
      <alignment horizontal="center" vertical="center"/>
    </xf>
    <xf numFmtId="0" fontId="36" fillId="14" borderId="22" xfId="0" applyFont="1" applyFill="1" applyBorder="1" applyAlignment="1" applyProtection="1">
      <alignment horizontal="center" vertical="center"/>
    </xf>
    <xf numFmtId="0" fontId="36" fillId="14" borderId="23" xfId="0" applyFont="1" applyFill="1" applyBorder="1" applyAlignment="1" applyProtection="1">
      <alignment horizontal="center" vertical="center"/>
    </xf>
    <xf numFmtId="0" fontId="36" fillId="14" borderId="19" xfId="0" applyFont="1" applyFill="1" applyBorder="1" applyAlignment="1" applyProtection="1">
      <alignment horizontal="center" vertical="center"/>
    </xf>
    <xf numFmtId="0" fontId="36" fillId="14" borderId="0" xfId="0" applyFont="1" applyFill="1" applyBorder="1" applyAlignment="1" applyProtection="1">
      <alignment horizontal="center" vertical="center"/>
    </xf>
    <xf numFmtId="0" fontId="36" fillId="14" borderId="40" xfId="0" applyFont="1" applyFill="1" applyBorder="1" applyAlignment="1" applyProtection="1">
      <alignment horizontal="center" vertical="center"/>
    </xf>
    <xf numFmtId="0" fontId="1" fillId="12" borderId="15" xfId="0" applyFont="1" applyFill="1" applyBorder="1" applyAlignment="1" applyProtection="1">
      <alignment horizontal="center" vertical="center" wrapText="1"/>
    </xf>
    <xf numFmtId="0" fontId="1" fillId="12" borderId="4" xfId="0" applyFont="1" applyFill="1" applyBorder="1" applyAlignment="1" applyProtection="1">
      <alignment horizontal="center" vertical="center" wrapText="1"/>
    </xf>
    <xf numFmtId="0" fontId="1" fillId="12" borderId="3" xfId="0" applyFont="1" applyFill="1" applyBorder="1" applyAlignment="1" applyProtection="1">
      <alignment horizontal="center" vertical="center" wrapText="1"/>
    </xf>
    <xf numFmtId="2" fontId="1" fillId="12" borderId="3" xfId="0" applyNumberFormat="1" applyFont="1" applyFill="1" applyBorder="1" applyAlignment="1" applyProtection="1">
      <alignment horizontal="center" vertical="center" wrapText="1"/>
    </xf>
    <xf numFmtId="169" fontId="0" fillId="5" borderId="36" xfId="0" applyNumberFormat="1" applyFill="1" applyBorder="1" applyAlignment="1" applyProtection="1">
      <alignment horizontal="center" vertical="center"/>
    </xf>
    <xf numFmtId="169" fontId="0" fillId="5" borderId="25" xfId="0" applyNumberFormat="1" applyFill="1" applyBorder="1" applyAlignment="1" applyProtection="1">
      <alignment horizontal="center" vertical="center"/>
    </xf>
    <xf numFmtId="169" fontId="13" fillId="5" borderId="36" xfId="0" applyNumberFormat="1" applyFont="1" applyFill="1" applyBorder="1" applyAlignment="1" applyProtection="1">
      <alignment horizontal="center" vertical="center"/>
    </xf>
    <xf numFmtId="169" fontId="13" fillId="5" borderId="25" xfId="0" applyNumberFormat="1" applyFont="1" applyFill="1" applyBorder="1" applyAlignment="1" applyProtection="1">
      <alignment horizontal="center" vertical="center"/>
    </xf>
    <xf numFmtId="10" fontId="0" fillId="4" borderId="45" xfId="0" applyNumberFormat="1" applyFont="1" applyFill="1" applyBorder="1" applyAlignment="1" applyProtection="1">
      <alignment horizontal="center" vertical="center"/>
    </xf>
    <xf numFmtId="10" fontId="0" fillId="4" borderId="5" xfId="0" applyNumberFormat="1" applyFont="1" applyFill="1" applyBorder="1" applyAlignment="1" applyProtection="1">
      <alignment horizontal="center" vertical="center"/>
    </xf>
    <xf numFmtId="10" fontId="1" fillId="4" borderId="36" xfId="0" applyNumberFormat="1" applyFont="1" applyFill="1" applyBorder="1" applyAlignment="1" applyProtection="1">
      <alignment horizontal="center" vertical="center"/>
    </xf>
    <xf numFmtId="10" fontId="1" fillId="4" borderId="25" xfId="0" applyNumberFormat="1" applyFont="1" applyFill="1" applyBorder="1" applyAlignment="1" applyProtection="1">
      <alignment horizontal="center" vertical="center"/>
    </xf>
    <xf numFmtId="169" fontId="0" fillId="4" borderId="45" xfId="0" applyNumberFormat="1" applyFont="1" applyFill="1" applyBorder="1" applyAlignment="1" applyProtection="1">
      <alignment horizontal="center" vertical="center"/>
    </xf>
    <xf numFmtId="169" fontId="0" fillId="4" borderId="37" xfId="0" applyNumberFormat="1" applyFont="1" applyFill="1" applyBorder="1" applyAlignment="1" applyProtection="1">
      <alignment horizontal="center" vertical="center"/>
    </xf>
    <xf numFmtId="165" fontId="0" fillId="0" borderId="36" xfId="0" applyNumberFormat="1" applyFont="1" applyFill="1" applyBorder="1" applyAlignment="1" applyProtection="1">
      <alignment horizontal="center" vertical="center"/>
    </xf>
    <xf numFmtId="165" fontId="0" fillId="0" borderId="25" xfId="0" applyNumberFormat="1" applyFont="1" applyFill="1" applyBorder="1" applyAlignment="1" applyProtection="1">
      <alignment horizontal="center" vertical="center"/>
    </xf>
    <xf numFmtId="169" fontId="0" fillId="4" borderId="36" xfId="0" applyNumberFormat="1" applyFont="1" applyFill="1" applyBorder="1" applyAlignment="1" applyProtection="1">
      <alignment horizontal="center" vertical="center"/>
    </xf>
    <xf numFmtId="169" fontId="0" fillId="4" borderId="25" xfId="0" applyNumberFormat="1" applyFont="1" applyFill="1" applyBorder="1" applyAlignment="1" applyProtection="1">
      <alignment horizontal="center" vertical="center"/>
    </xf>
    <xf numFmtId="169" fontId="0" fillId="4" borderId="34" xfId="0" applyNumberFormat="1" applyFont="1" applyFill="1" applyBorder="1" applyAlignment="1" applyProtection="1">
      <alignment horizontal="center" vertical="center"/>
    </xf>
    <xf numFmtId="0" fontId="1" fillId="12" borderId="15" xfId="0" applyFont="1" applyFill="1" applyBorder="1" applyAlignment="1" applyProtection="1">
      <alignment horizontal="center" vertical="center"/>
    </xf>
    <xf numFmtId="0" fontId="1" fillId="12" borderId="3" xfId="0" applyFont="1" applyFill="1" applyBorder="1" applyAlignment="1" applyProtection="1">
      <alignment horizontal="center" vertical="center"/>
    </xf>
    <xf numFmtId="0" fontId="1" fillId="12" borderId="4" xfId="0" applyFont="1" applyFill="1" applyBorder="1" applyAlignment="1" applyProtection="1">
      <alignment horizontal="center" vertical="center"/>
    </xf>
    <xf numFmtId="0" fontId="0" fillId="7" borderId="19" xfId="0" applyFont="1" applyFill="1" applyBorder="1" applyAlignment="1" applyProtection="1">
      <alignment horizontal="left" vertical="center" indent="1"/>
    </xf>
    <xf numFmtId="0" fontId="0" fillId="7" borderId="0" xfId="0" applyFont="1" applyFill="1" applyBorder="1" applyAlignment="1" applyProtection="1">
      <alignment horizontal="left" vertical="center" indent="1"/>
    </xf>
    <xf numFmtId="0" fontId="0" fillId="7" borderId="25" xfId="0" applyFont="1" applyFill="1" applyBorder="1" applyAlignment="1" applyProtection="1">
      <alignment horizontal="left" vertical="center" indent="1"/>
    </xf>
    <xf numFmtId="0" fontId="0" fillId="7" borderId="43" xfId="0" applyFont="1" applyFill="1" applyBorder="1" applyAlignment="1" applyProtection="1">
      <alignment horizontal="left" vertical="center" indent="1"/>
    </xf>
    <xf numFmtId="0" fontId="0" fillId="7" borderId="18" xfId="0" applyFont="1" applyFill="1" applyBorder="1" applyAlignment="1" applyProtection="1">
      <alignment horizontal="left" vertical="center" indent="1"/>
    </xf>
    <xf numFmtId="0" fontId="0" fillId="7" borderId="20" xfId="0" applyFont="1" applyFill="1" applyBorder="1" applyAlignment="1" applyProtection="1">
      <alignment horizontal="left" vertical="center" indent="1"/>
    </xf>
    <xf numFmtId="0" fontId="0" fillId="12" borderId="15" xfId="0" applyFill="1" applyBorder="1" applyAlignment="1" applyProtection="1">
      <alignment horizontal="center" vertical="center"/>
    </xf>
    <xf numFmtId="0" fontId="0" fillId="12" borderId="4" xfId="0" applyFill="1" applyBorder="1" applyAlignment="1" applyProtection="1">
      <alignment horizontal="center" vertical="center"/>
    </xf>
    <xf numFmtId="169" fontId="1" fillId="4" borderId="36" xfId="0" applyNumberFormat="1" applyFont="1" applyFill="1" applyBorder="1" applyAlignment="1" applyProtection="1">
      <alignment horizontal="center" vertical="center"/>
    </xf>
    <xf numFmtId="169" fontId="1" fillId="4" borderId="40" xfId="0" applyNumberFormat="1" applyFont="1" applyFill="1" applyBorder="1" applyAlignment="1" applyProtection="1">
      <alignment horizontal="center" vertical="center"/>
    </xf>
    <xf numFmtId="10" fontId="1" fillId="4" borderId="0" xfId="0" applyNumberFormat="1" applyFont="1" applyFill="1" applyBorder="1" applyAlignment="1" applyProtection="1">
      <alignment horizontal="center" vertical="center"/>
    </xf>
    <xf numFmtId="164" fontId="0" fillId="0" borderId="36" xfId="0" applyNumberFormat="1" applyFont="1" applyFill="1" applyBorder="1" applyAlignment="1" applyProtection="1">
      <alignment horizontal="center" vertical="center"/>
    </xf>
    <xf numFmtId="164" fontId="0" fillId="0" borderId="25" xfId="0" applyNumberFormat="1" applyFont="1" applyFill="1" applyBorder="1" applyAlignment="1" applyProtection="1">
      <alignment horizontal="center" vertical="center"/>
    </xf>
    <xf numFmtId="169" fontId="1" fillId="4" borderId="25" xfId="0" applyNumberFormat="1" applyFont="1" applyFill="1" applyBorder="1" applyAlignment="1" applyProtection="1">
      <alignment horizontal="center" vertical="center"/>
    </xf>
    <xf numFmtId="169" fontId="0" fillId="5" borderId="40" xfId="0" applyNumberFormat="1" applyFill="1" applyBorder="1" applyAlignment="1" applyProtection="1">
      <alignment horizontal="center" vertical="center"/>
    </xf>
    <xf numFmtId="0" fontId="6" fillId="0" borderId="0" xfId="0" applyFont="1" applyBorder="1" applyAlignment="1" applyProtection="1">
      <alignment horizontal="center"/>
    </xf>
    <xf numFmtId="0" fontId="6" fillId="3" borderId="0" xfId="0" applyFont="1" applyFill="1" applyAlignment="1" applyProtection="1">
      <alignment horizontal="center"/>
    </xf>
    <xf numFmtId="0" fontId="16" fillId="0" borderId="0" xfId="0" applyFont="1" applyAlignment="1" applyProtection="1">
      <alignment horizontal="center"/>
    </xf>
    <xf numFmtId="0" fontId="11" fillId="0" borderId="27" xfId="0" applyFont="1" applyBorder="1" applyAlignment="1" applyProtection="1">
      <alignment horizontal="center"/>
    </xf>
    <xf numFmtId="0" fontId="11" fillId="0" borderId="11" xfId="0" applyFont="1" applyBorder="1" applyAlignment="1" applyProtection="1">
      <alignment horizontal="center"/>
    </xf>
    <xf numFmtId="0" fontId="5" fillId="0" borderId="5" xfId="1" applyFont="1" applyFill="1" applyBorder="1" applyAlignment="1" applyProtection="1">
      <alignment horizontal="center" vertical="center"/>
      <protection locked="0" hidden="1"/>
    </xf>
    <xf numFmtId="0" fontId="36" fillId="14" borderId="15" xfId="0" applyFont="1" applyFill="1" applyBorder="1" applyAlignment="1" applyProtection="1">
      <alignment horizontal="center" vertical="center"/>
    </xf>
    <xf numFmtId="0" fontId="36" fillId="14" borderId="3" xfId="0" applyFont="1" applyFill="1" applyBorder="1" applyAlignment="1" applyProtection="1">
      <alignment horizontal="center" vertical="center"/>
    </xf>
    <xf numFmtId="0" fontId="36" fillId="14" borderId="4" xfId="0" applyFont="1" applyFill="1" applyBorder="1" applyAlignment="1" applyProtection="1">
      <alignment horizontal="center" vertical="center"/>
    </xf>
    <xf numFmtId="0" fontId="1" fillId="13" borderId="9" xfId="0" applyFont="1" applyFill="1" applyBorder="1" applyAlignment="1" applyProtection="1">
      <alignment horizontal="center" vertical="center"/>
      <protection locked="0"/>
    </xf>
    <xf numFmtId="0" fontId="1" fillId="13" borderId="11" xfId="0" applyFont="1" applyFill="1" applyBorder="1" applyAlignment="1" applyProtection="1">
      <alignment horizontal="center" vertical="center"/>
      <protection locked="0"/>
    </xf>
    <xf numFmtId="0" fontId="1" fillId="13" borderId="6" xfId="0" applyFont="1" applyFill="1" applyBorder="1" applyAlignment="1" applyProtection="1">
      <alignment horizontal="center" vertical="center"/>
      <protection locked="0"/>
    </xf>
    <xf numFmtId="0" fontId="1" fillId="13" borderId="8" xfId="0" applyFont="1" applyFill="1" applyBorder="1" applyAlignment="1" applyProtection="1">
      <alignment horizontal="center" vertical="center"/>
      <protection locked="0"/>
    </xf>
    <xf numFmtId="171" fontId="0" fillId="13" borderId="36" xfId="0" applyNumberFormat="1" applyFill="1" applyBorder="1" applyAlignment="1" applyProtection="1">
      <alignment horizontal="center" vertical="center"/>
      <protection locked="0"/>
    </xf>
    <xf numFmtId="171" fontId="0" fillId="13" borderId="40" xfId="0" applyNumberFormat="1" applyFill="1" applyBorder="1" applyAlignment="1" applyProtection="1">
      <alignment horizontal="center" vertical="center"/>
      <protection locked="0"/>
    </xf>
    <xf numFmtId="176" fontId="0" fillId="13" borderId="36" xfId="0" applyNumberFormat="1" applyFill="1" applyBorder="1" applyAlignment="1" applyProtection="1">
      <alignment horizontal="center" vertical="center"/>
      <protection locked="0"/>
    </xf>
    <xf numFmtId="176" fontId="0" fillId="13" borderId="40" xfId="0" applyNumberFormat="1" applyFill="1" applyBorder="1" applyAlignment="1" applyProtection="1">
      <alignment horizontal="center" vertical="center"/>
      <protection locked="0"/>
    </xf>
    <xf numFmtId="176" fontId="0" fillId="13" borderId="66" xfId="0" applyNumberFormat="1" applyFill="1" applyBorder="1" applyAlignment="1" applyProtection="1">
      <alignment horizontal="center" vertical="center"/>
      <protection locked="0"/>
    </xf>
    <xf numFmtId="176" fontId="0" fillId="13" borderId="64" xfId="0" applyNumberFormat="1" applyFill="1" applyBorder="1" applyAlignment="1" applyProtection="1">
      <alignment horizontal="center" vertical="center"/>
      <protection locked="0"/>
    </xf>
    <xf numFmtId="179" fontId="0" fillId="5" borderId="36" xfId="0" applyNumberFormat="1" applyFill="1" applyBorder="1" applyAlignment="1" applyProtection="1">
      <alignment horizontal="center" vertical="center"/>
    </xf>
    <xf numFmtId="179" fontId="0" fillId="5" borderId="40" xfId="0" applyNumberFormat="1" applyFill="1" applyBorder="1" applyAlignment="1" applyProtection="1">
      <alignment horizontal="center" vertical="center"/>
    </xf>
    <xf numFmtId="182" fontId="0" fillId="5" borderId="36" xfId="0" applyNumberFormat="1" applyFill="1" applyBorder="1" applyAlignment="1" applyProtection="1">
      <alignment horizontal="center" vertical="center"/>
    </xf>
    <xf numFmtId="182" fontId="0" fillId="5" borderId="40" xfId="0" applyNumberFormat="1" applyFill="1" applyBorder="1" applyAlignment="1" applyProtection="1">
      <alignment horizontal="center" vertical="center"/>
    </xf>
    <xf numFmtId="172" fontId="0" fillId="13" borderId="36" xfId="0" applyNumberFormat="1" applyFill="1" applyBorder="1" applyAlignment="1" applyProtection="1">
      <alignment horizontal="center" vertical="center"/>
      <protection locked="0"/>
    </xf>
    <xf numFmtId="172" fontId="0" fillId="13" borderId="40" xfId="0" applyNumberFormat="1" applyFill="1" applyBorder="1" applyAlignment="1" applyProtection="1">
      <alignment horizontal="center" vertical="center"/>
      <protection locked="0"/>
    </xf>
    <xf numFmtId="175" fontId="0" fillId="13" borderId="36" xfId="0" applyNumberFormat="1" applyFill="1" applyBorder="1" applyAlignment="1" applyProtection="1">
      <alignment horizontal="center" vertical="center"/>
      <protection locked="0"/>
    </xf>
    <xf numFmtId="175" fontId="0" fillId="13" borderId="40" xfId="0" applyNumberFormat="1" applyFill="1" applyBorder="1" applyAlignment="1" applyProtection="1">
      <alignment horizontal="center" vertical="center"/>
      <protection locked="0"/>
    </xf>
    <xf numFmtId="185" fontId="0" fillId="13" borderId="36" xfId="0" applyNumberFormat="1" applyFill="1" applyBorder="1" applyAlignment="1" applyProtection="1">
      <alignment horizontal="center" vertical="center"/>
      <protection locked="0"/>
    </xf>
    <xf numFmtId="185" fontId="0" fillId="13" borderId="40" xfId="0" applyNumberFormat="1" applyFill="1" applyBorder="1" applyAlignment="1" applyProtection="1">
      <alignment horizontal="center" vertical="center"/>
      <protection locked="0"/>
    </xf>
    <xf numFmtId="0" fontId="1" fillId="9" borderId="3" xfId="0" applyFont="1" applyFill="1" applyBorder="1" applyAlignment="1" applyProtection="1">
      <alignment horizontal="center"/>
    </xf>
    <xf numFmtId="0" fontId="1" fillId="9" borderId="33" xfId="0" applyFont="1" applyFill="1" applyBorder="1" applyAlignment="1" applyProtection="1">
      <alignment horizontal="center"/>
    </xf>
    <xf numFmtId="0" fontId="1" fillId="9" borderId="23" xfId="0" applyFont="1" applyFill="1" applyBorder="1" applyAlignment="1" applyProtection="1">
      <alignment horizontal="center"/>
    </xf>
    <xf numFmtId="0" fontId="0" fillId="0" borderId="24" xfId="0" applyBorder="1" applyAlignment="1" applyProtection="1">
      <alignment horizontal="center"/>
    </xf>
    <xf numFmtId="0" fontId="0" fillId="0" borderId="37" xfId="0" applyBorder="1" applyAlignment="1" applyProtection="1">
      <alignment horizontal="center"/>
    </xf>
    <xf numFmtId="0" fontId="35" fillId="0" borderId="0" xfId="0" applyFont="1" applyBorder="1" applyAlignment="1" applyProtection="1">
      <alignment horizontal="left" vertical="top" wrapText="1"/>
    </xf>
    <xf numFmtId="0" fontId="40" fillId="0" borderId="0" xfId="0" applyFont="1" applyAlignment="1" applyProtection="1">
      <alignment horizontal="left"/>
    </xf>
    <xf numFmtId="0" fontId="40" fillId="0" borderId="0" xfId="0" applyFont="1" applyAlignment="1" applyProtection="1"/>
    <xf numFmtId="0" fontId="0" fillId="12" borderId="43" xfId="0" applyFont="1" applyFill="1" applyBorder="1" applyAlignment="1" applyProtection="1">
      <alignment horizontal="left" vertical="center" indent="1"/>
    </xf>
    <xf numFmtId="0" fontId="0" fillId="12" borderId="18" xfId="0" applyFont="1" applyFill="1" applyBorder="1" applyAlignment="1" applyProtection="1">
      <alignment horizontal="left" vertical="center" indent="1"/>
    </xf>
    <xf numFmtId="0" fontId="0" fillId="12" borderId="20" xfId="0" applyFont="1" applyFill="1" applyBorder="1" applyAlignment="1" applyProtection="1">
      <alignment horizontal="left" vertical="center" indent="1"/>
    </xf>
    <xf numFmtId="0" fontId="0" fillId="12" borderId="19" xfId="0" applyFont="1" applyFill="1" applyBorder="1" applyAlignment="1" applyProtection="1">
      <alignment horizontal="left" vertical="center" indent="1"/>
    </xf>
    <xf numFmtId="0" fontId="0" fillId="12" borderId="0" xfId="0" applyFont="1" applyFill="1" applyBorder="1" applyAlignment="1" applyProtection="1">
      <alignment horizontal="left" vertical="center" indent="1"/>
    </xf>
    <xf numFmtId="0" fontId="0" fillId="12" borderId="25" xfId="0" applyFont="1" applyFill="1" applyBorder="1" applyAlignment="1" applyProtection="1">
      <alignment horizontal="left" vertical="center" indent="1"/>
    </xf>
    <xf numFmtId="0" fontId="1" fillId="12" borderId="27" xfId="0" applyFont="1" applyFill="1" applyBorder="1" applyAlignment="1" applyProtection="1">
      <alignment horizontal="left" vertical="center" indent="1"/>
    </xf>
    <xf numFmtId="0" fontId="1" fillId="12" borderId="10" xfId="0" applyFont="1" applyFill="1" applyBorder="1" applyAlignment="1" applyProtection="1">
      <alignment horizontal="left" vertical="center" indent="1"/>
    </xf>
    <xf numFmtId="0" fontId="1" fillId="12" borderId="28" xfId="0" applyFont="1" applyFill="1" applyBorder="1" applyAlignment="1" applyProtection="1">
      <alignment horizontal="left" vertical="center" indent="1"/>
    </xf>
    <xf numFmtId="0" fontId="1" fillId="12" borderId="35" xfId="0" applyFont="1" applyFill="1" applyBorder="1" applyAlignment="1" applyProtection="1">
      <alignment horizontal="left" vertical="center" indent="1"/>
    </xf>
    <xf numFmtId="180" fontId="0" fillId="5" borderId="36" xfId="0" applyNumberFormat="1" applyFill="1" applyBorder="1" applyAlignment="1" applyProtection="1">
      <alignment horizontal="center" vertical="center"/>
    </xf>
    <xf numFmtId="180" fontId="0" fillId="5" borderId="40" xfId="0" applyNumberFormat="1" applyFill="1" applyBorder="1" applyAlignment="1" applyProtection="1">
      <alignment horizontal="center" vertical="center"/>
    </xf>
    <xf numFmtId="186" fontId="0" fillId="5" borderId="36" xfId="0" applyNumberFormat="1" applyFill="1" applyBorder="1" applyAlignment="1" applyProtection="1">
      <alignment horizontal="center" vertical="center"/>
    </xf>
    <xf numFmtId="186" fontId="0" fillId="5" borderId="40" xfId="0" applyNumberFormat="1" applyFill="1" applyBorder="1" applyAlignment="1" applyProtection="1">
      <alignment horizontal="center" vertical="center"/>
    </xf>
    <xf numFmtId="184" fontId="0" fillId="5" borderId="36" xfId="0" applyNumberFormat="1" applyFill="1" applyBorder="1" applyAlignment="1" applyProtection="1">
      <alignment horizontal="center" vertical="center"/>
    </xf>
    <xf numFmtId="184" fontId="0" fillId="5" borderId="40" xfId="0" applyNumberFormat="1" applyFill="1" applyBorder="1" applyAlignment="1" applyProtection="1">
      <alignment horizontal="center" vertical="center"/>
    </xf>
    <xf numFmtId="0" fontId="0" fillId="12" borderId="15" xfId="0" applyFont="1" applyFill="1" applyBorder="1" applyAlignment="1" applyProtection="1">
      <alignment horizontal="center" vertical="center" wrapText="1"/>
    </xf>
    <xf numFmtId="0" fontId="0" fillId="12" borderId="4" xfId="0" applyFont="1" applyFill="1" applyBorder="1" applyAlignment="1" applyProtection="1">
      <alignment horizontal="center" vertical="center" wrapText="1"/>
    </xf>
    <xf numFmtId="10" fontId="0" fillId="0" borderId="36" xfId="0" applyNumberFormat="1" applyFont="1" applyFill="1" applyBorder="1" applyAlignment="1" applyProtection="1">
      <alignment horizontal="center" vertical="center"/>
    </xf>
    <xf numFmtId="10" fontId="0" fillId="0" borderId="25" xfId="0" applyNumberFormat="1" applyFont="1" applyFill="1" applyBorder="1" applyAlignment="1" applyProtection="1">
      <alignment horizontal="center" vertical="center"/>
    </xf>
    <xf numFmtId="166" fontId="0" fillId="0" borderId="36" xfId="0" applyNumberFormat="1" applyFont="1" applyFill="1" applyBorder="1" applyAlignment="1" applyProtection="1">
      <alignment horizontal="center" vertical="center"/>
    </xf>
    <xf numFmtId="166" fontId="0" fillId="0" borderId="25" xfId="0" applyNumberFormat="1" applyFont="1" applyFill="1" applyBorder="1" applyAlignment="1" applyProtection="1">
      <alignment horizontal="center" vertical="center"/>
    </xf>
    <xf numFmtId="0" fontId="1" fillId="12" borderId="33" xfId="0" quotePrefix="1" applyFont="1" applyFill="1" applyBorder="1" applyAlignment="1" applyProtection="1">
      <alignment horizontal="right" vertical="center" indent="1"/>
    </xf>
    <xf numFmtId="0" fontId="1" fillId="12" borderId="22" xfId="0" quotePrefix="1" applyFont="1" applyFill="1" applyBorder="1" applyAlignment="1" applyProtection="1">
      <alignment horizontal="right" vertical="center" indent="1"/>
    </xf>
    <xf numFmtId="0" fontId="1" fillId="12" borderId="24" xfId="0" quotePrefix="1" applyFont="1" applyFill="1" applyBorder="1" applyAlignment="1" applyProtection="1">
      <alignment horizontal="right" vertical="center" indent="1"/>
    </xf>
    <xf numFmtId="0" fontId="1" fillId="12" borderId="5" xfId="0" quotePrefix="1" applyFont="1" applyFill="1" applyBorder="1" applyAlignment="1" applyProtection="1">
      <alignment horizontal="right" vertical="center" indent="1"/>
    </xf>
    <xf numFmtId="166" fontId="0" fillId="0" borderId="65" xfId="0" applyNumberFormat="1" applyFont="1" applyFill="1" applyBorder="1" applyAlignment="1" applyProtection="1">
      <alignment horizontal="center" vertical="center"/>
    </xf>
    <xf numFmtId="166" fontId="0" fillId="0" borderId="23" xfId="0" applyNumberFormat="1" applyFont="1" applyFill="1" applyBorder="1" applyAlignment="1" applyProtection="1">
      <alignment horizontal="center" vertical="center"/>
    </xf>
    <xf numFmtId="166" fontId="0" fillId="0" borderId="45" xfId="0" applyNumberFormat="1" applyFont="1" applyFill="1" applyBorder="1" applyAlignment="1" applyProtection="1">
      <alignment horizontal="center" vertical="center"/>
    </xf>
    <xf numFmtId="166" fontId="0" fillId="0" borderId="37" xfId="0" applyNumberFormat="1" applyFont="1" applyFill="1" applyBorder="1" applyAlignment="1" applyProtection="1">
      <alignment horizontal="center" vertical="center"/>
    </xf>
    <xf numFmtId="0" fontId="0" fillId="12" borderId="15" xfId="0" applyFont="1" applyFill="1" applyBorder="1" applyAlignment="1" applyProtection="1">
      <alignment horizontal="left" vertical="center" wrapText="1" indent="1"/>
    </xf>
    <xf numFmtId="0" fontId="0" fillId="12" borderId="3" xfId="0" applyFont="1" applyFill="1" applyBorder="1" applyAlignment="1" applyProtection="1">
      <alignment horizontal="left" vertical="center" wrapText="1" indent="1"/>
    </xf>
    <xf numFmtId="0" fontId="0" fillId="12" borderId="4" xfId="0" applyFont="1" applyFill="1" applyBorder="1" applyAlignment="1" applyProtection="1">
      <alignment horizontal="left" vertical="center" wrapText="1" indent="1"/>
    </xf>
    <xf numFmtId="167" fontId="0" fillId="0" borderId="36" xfId="0" applyNumberFormat="1" applyFont="1" applyFill="1" applyBorder="1" applyAlignment="1" applyProtection="1">
      <alignment horizontal="center" vertical="center"/>
    </xf>
    <xf numFmtId="167" fontId="0" fillId="0" borderId="25" xfId="0" applyNumberFormat="1" applyFont="1" applyFill="1" applyBorder="1" applyAlignment="1" applyProtection="1">
      <alignment horizontal="center" vertical="center"/>
    </xf>
    <xf numFmtId="0" fontId="1" fillId="15" borderId="15" xfId="0" applyFont="1" applyFill="1" applyBorder="1" applyAlignment="1" applyProtection="1">
      <alignment horizontal="center"/>
    </xf>
    <xf numFmtId="0" fontId="1" fillId="15" borderId="4" xfId="0" applyFont="1" applyFill="1" applyBorder="1" applyAlignment="1" applyProtection="1">
      <alignment horizontal="center"/>
    </xf>
    <xf numFmtId="0" fontId="1" fillId="12" borderId="73" xfId="0" applyFont="1" applyFill="1" applyBorder="1" applyAlignment="1" applyProtection="1">
      <alignment horizontal="center" vertical="center"/>
    </xf>
    <xf numFmtId="0" fontId="1" fillId="12" borderId="74" xfId="0" applyFont="1" applyFill="1" applyBorder="1" applyAlignment="1" applyProtection="1">
      <alignment horizontal="center" vertical="center"/>
    </xf>
    <xf numFmtId="0" fontId="0" fillId="12" borderId="24" xfId="0" applyFont="1" applyFill="1" applyBorder="1" applyAlignment="1" applyProtection="1">
      <alignment horizontal="left" vertical="center" indent="1"/>
    </xf>
    <xf numFmtId="0" fontId="0" fillId="12" borderId="5" xfId="0" applyFont="1" applyFill="1" applyBorder="1" applyAlignment="1" applyProtection="1">
      <alignment horizontal="left" vertical="center" indent="1"/>
    </xf>
    <xf numFmtId="0" fontId="0" fillId="12" borderId="34" xfId="0" applyFont="1" applyFill="1" applyBorder="1" applyAlignment="1" applyProtection="1">
      <alignment horizontal="left" vertical="center" indent="1"/>
    </xf>
    <xf numFmtId="169" fontId="13" fillId="5" borderId="40" xfId="0" applyNumberFormat="1" applyFont="1" applyFill="1" applyBorder="1" applyAlignment="1" applyProtection="1">
      <alignment horizontal="center" vertical="center"/>
    </xf>
    <xf numFmtId="0" fontId="1" fillId="12" borderId="10" xfId="0" quotePrefix="1" applyFont="1" applyFill="1" applyBorder="1" applyAlignment="1" applyProtection="1">
      <alignment horizontal="center" vertical="center"/>
    </xf>
    <xf numFmtId="0" fontId="1" fillId="12" borderId="11" xfId="0" quotePrefix="1" applyFont="1" applyFill="1" applyBorder="1" applyAlignment="1" applyProtection="1">
      <alignment horizontal="center" vertical="center"/>
    </xf>
    <xf numFmtId="166" fontId="0" fillId="2" borderId="5" xfId="0" applyNumberFormat="1" applyFill="1" applyBorder="1" applyAlignment="1" applyProtection="1">
      <alignment horizontal="center" vertical="center"/>
    </xf>
    <xf numFmtId="0" fontId="1" fillId="12" borderId="27" xfId="0" quotePrefix="1" applyFont="1" applyFill="1" applyBorder="1" applyAlignment="1" applyProtection="1">
      <alignment horizontal="center" vertical="center"/>
    </xf>
    <xf numFmtId="183" fontId="0" fillId="4" borderId="24" xfId="0" applyNumberFormat="1" applyFill="1" applyBorder="1" applyAlignment="1" applyProtection="1">
      <alignment horizontal="center" vertical="center"/>
    </xf>
    <xf numFmtId="183" fontId="0" fillId="4" borderId="37" xfId="0" applyNumberFormat="1" applyFill="1" applyBorder="1" applyAlignment="1" applyProtection="1">
      <alignment horizontal="center" vertical="center"/>
    </xf>
    <xf numFmtId="195" fontId="0" fillId="5" borderId="45" xfId="0" applyNumberFormat="1" applyFill="1" applyBorder="1" applyAlignment="1" applyProtection="1">
      <alignment horizontal="center" vertical="center"/>
    </xf>
    <xf numFmtId="195" fontId="0" fillId="5" borderId="37" xfId="0" applyNumberFormat="1" applyFill="1" applyBorder="1" applyAlignment="1" applyProtection="1">
      <alignment horizontal="center" vertical="center"/>
    </xf>
    <xf numFmtId="178" fontId="0" fillId="4" borderId="5" xfId="0" applyNumberFormat="1" applyFill="1" applyBorder="1" applyAlignment="1" applyProtection="1">
      <alignment horizontal="center" vertical="center"/>
    </xf>
    <xf numFmtId="178" fontId="0" fillId="4" borderId="37" xfId="0" applyNumberFormat="1" applyFill="1" applyBorder="1" applyAlignment="1" applyProtection="1">
      <alignment horizontal="center" vertical="center"/>
    </xf>
    <xf numFmtId="1" fontId="0" fillId="5" borderId="5" xfId="0" applyNumberFormat="1" applyFont="1" applyFill="1" applyBorder="1" applyAlignment="1" applyProtection="1">
      <alignment horizontal="center" vertical="center"/>
    </xf>
    <xf numFmtId="10" fontId="13" fillId="4" borderId="5" xfId="3" applyNumberFormat="1" applyFont="1" applyFill="1" applyBorder="1" applyAlignment="1" applyProtection="1">
      <alignment horizontal="center" vertical="center"/>
    </xf>
    <xf numFmtId="10" fontId="1" fillId="4" borderId="22" xfId="3" applyNumberFormat="1" applyFont="1" applyFill="1" applyBorder="1" applyAlignment="1" applyProtection="1">
      <alignment horizontal="center" vertical="center"/>
    </xf>
    <xf numFmtId="10" fontId="0" fillId="4" borderId="0" xfId="3" applyNumberFormat="1" applyFont="1" applyFill="1" applyBorder="1" applyAlignment="1" applyProtection="1">
      <alignment horizontal="center" vertical="center"/>
    </xf>
    <xf numFmtId="10" fontId="0" fillId="4" borderId="18" xfId="3" applyNumberFormat="1" applyFont="1" applyFill="1" applyBorder="1" applyAlignment="1" applyProtection="1">
      <alignment horizontal="center" vertical="center"/>
    </xf>
    <xf numFmtId="166" fontId="0" fillId="4" borderId="0" xfId="0" applyNumberFormat="1" applyFill="1" applyBorder="1" applyAlignment="1" applyProtection="1">
      <alignment horizontal="center" vertical="center"/>
    </xf>
    <xf numFmtId="166" fontId="0" fillId="4" borderId="5" xfId="0" applyNumberFormat="1" applyFill="1" applyBorder="1" applyAlignment="1" applyProtection="1">
      <alignment horizontal="center" vertical="center"/>
    </xf>
    <xf numFmtId="166" fontId="0" fillId="4" borderId="22" xfId="0" applyNumberFormat="1" applyFill="1" applyBorder="1" applyAlignment="1" applyProtection="1">
      <alignment horizontal="center" vertical="center"/>
    </xf>
    <xf numFmtId="166" fontId="0" fillId="4" borderId="18" xfId="0" applyNumberFormat="1" applyFill="1" applyBorder="1" applyAlignment="1" applyProtection="1">
      <alignment horizontal="center" vertical="center"/>
    </xf>
    <xf numFmtId="166" fontId="1" fillId="4" borderId="36" xfId="0" applyNumberFormat="1" applyFont="1" applyFill="1" applyBorder="1" applyAlignment="1" applyProtection="1">
      <alignment horizontal="center" vertical="center"/>
    </xf>
    <xf numFmtId="166" fontId="1" fillId="4" borderId="25" xfId="0" applyNumberFormat="1" applyFont="1" applyFill="1" applyBorder="1" applyAlignment="1" applyProtection="1">
      <alignment horizontal="center" vertical="center"/>
    </xf>
    <xf numFmtId="166" fontId="0" fillId="4" borderId="36" xfId="0" applyNumberFormat="1" applyFill="1" applyBorder="1" applyAlignment="1" applyProtection="1">
      <alignment horizontal="center" vertical="center"/>
    </xf>
    <xf numFmtId="166" fontId="0" fillId="4" borderId="25" xfId="0" applyNumberFormat="1" applyFill="1" applyBorder="1" applyAlignment="1" applyProtection="1">
      <alignment horizontal="center" vertical="center"/>
    </xf>
    <xf numFmtId="166" fontId="0" fillId="4" borderId="45" xfId="0" applyNumberFormat="1" applyFill="1" applyBorder="1" applyAlignment="1" applyProtection="1">
      <alignment horizontal="center" vertical="center"/>
    </xf>
    <xf numFmtId="166" fontId="0" fillId="4" borderId="34" xfId="0" applyNumberFormat="1" applyFill="1" applyBorder="1" applyAlignment="1" applyProtection="1">
      <alignment horizontal="center" vertical="center"/>
    </xf>
    <xf numFmtId="166" fontId="1" fillId="4" borderId="65" xfId="0" applyNumberFormat="1" applyFont="1" applyFill="1" applyBorder="1" applyAlignment="1" applyProtection="1">
      <alignment horizontal="center" vertical="center"/>
    </xf>
    <xf numFmtId="166" fontId="1" fillId="4" borderId="69" xfId="0" applyNumberFormat="1" applyFont="1" applyFill="1" applyBorder="1" applyAlignment="1" applyProtection="1">
      <alignment horizontal="center" vertical="center"/>
    </xf>
    <xf numFmtId="166" fontId="0" fillId="4" borderId="36" xfId="0" applyNumberFormat="1" applyFont="1" applyFill="1" applyBorder="1" applyAlignment="1" applyProtection="1">
      <alignment horizontal="center" vertical="center"/>
    </xf>
    <xf numFmtId="166" fontId="0" fillId="4" borderId="25" xfId="0" applyNumberFormat="1" applyFont="1" applyFill="1" applyBorder="1" applyAlignment="1" applyProtection="1">
      <alignment horizontal="center" vertical="center"/>
    </xf>
    <xf numFmtId="166" fontId="0" fillId="4" borderId="66" xfId="0" applyNumberFormat="1" applyFont="1" applyFill="1" applyBorder="1" applyAlignment="1" applyProtection="1">
      <alignment horizontal="center" vertical="center"/>
    </xf>
    <xf numFmtId="166" fontId="0" fillId="4" borderId="20" xfId="0" applyNumberFormat="1" applyFont="1" applyFill="1" applyBorder="1" applyAlignment="1" applyProtection="1">
      <alignment horizontal="center" vertical="center"/>
    </xf>
    <xf numFmtId="0" fontId="0" fillId="12" borderId="24" xfId="0" applyFont="1" applyFill="1" applyBorder="1" applyAlignment="1" applyProtection="1">
      <alignment horizontal="center" vertical="center"/>
    </xf>
    <xf numFmtId="0" fontId="0" fillId="12" borderId="34" xfId="0" applyFont="1" applyFill="1" applyBorder="1" applyAlignment="1" applyProtection="1">
      <alignment horizontal="center" vertical="center"/>
    </xf>
    <xf numFmtId="0" fontId="0" fillId="12" borderId="0" xfId="0" applyFont="1" applyFill="1" applyBorder="1" applyAlignment="1" applyProtection="1">
      <alignment horizontal="center" vertical="center"/>
    </xf>
    <xf numFmtId="0" fontId="0" fillId="12" borderId="5" xfId="0" applyFont="1" applyFill="1" applyBorder="1" applyAlignment="1" applyProtection="1">
      <alignment horizontal="center" vertical="center"/>
    </xf>
    <xf numFmtId="10" fontId="1" fillId="4" borderId="0" xfId="3" applyNumberFormat="1" applyFont="1" applyFill="1" applyBorder="1" applyAlignment="1" applyProtection="1">
      <alignment horizontal="center" vertical="center"/>
    </xf>
    <xf numFmtId="10" fontId="0" fillId="4" borderId="36" xfId="0" applyNumberFormat="1" applyFont="1" applyFill="1" applyBorder="1" applyAlignment="1" applyProtection="1">
      <alignment horizontal="center" vertical="center"/>
    </xf>
    <xf numFmtId="10" fontId="0" fillId="4" borderId="25" xfId="0" applyNumberFormat="1" applyFont="1" applyFill="1" applyBorder="1" applyAlignment="1" applyProtection="1">
      <alignment horizontal="center" vertical="center"/>
    </xf>
    <xf numFmtId="10" fontId="0" fillId="4" borderId="34" xfId="0" applyNumberFormat="1" applyFont="1" applyFill="1" applyBorder="1" applyAlignment="1" applyProtection="1">
      <alignment horizontal="center" vertical="center"/>
    </xf>
    <xf numFmtId="0" fontId="0" fillId="12" borderId="43" xfId="0" applyFont="1" applyFill="1" applyBorder="1" applyAlignment="1" applyProtection="1">
      <alignment horizontal="center" vertical="center"/>
    </xf>
    <xf numFmtId="0" fontId="0" fillId="12" borderId="20" xfId="0" applyFont="1" applyFill="1" applyBorder="1" applyAlignment="1" applyProtection="1">
      <alignment horizontal="center" vertical="center"/>
    </xf>
    <xf numFmtId="0" fontId="0" fillId="12" borderId="33" xfId="0" applyFont="1" applyFill="1" applyBorder="1" applyAlignment="1" applyProtection="1">
      <alignment horizontal="left" vertical="center" wrapText="1" indent="1"/>
    </xf>
    <xf numFmtId="0" fontId="0" fillId="12" borderId="22" xfId="0" applyFont="1" applyFill="1" applyBorder="1" applyAlignment="1" applyProtection="1">
      <alignment horizontal="left" vertical="center" wrapText="1" indent="1"/>
    </xf>
    <xf numFmtId="10" fontId="0" fillId="4" borderId="0" xfId="0" applyNumberFormat="1" applyFont="1" applyFill="1" applyBorder="1" applyAlignment="1" applyProtection="1">
      <alignment horizontal="center" vertical="center"/>
    </xf>
    <xf numFmtId="0" fontId="22" fillId="14" borderId="33" xfId="0" applyFont="1" applyFill="1" applyBorder="1" applyAlignment="1" applyProtection="1">
      <alignment horizontal="center" vertical="center"/>
    </xf>
    <xf numFmtId="0" fontId="22" fillId="14" borderId="22" xfId="0" applyFont="1" applyFill="1" applyBorder="1" applyAlignment="1" applyProtection="1">
      <alignment horizontal="center" vertical="center"/>
    </xf>
    <xf numFmtId="0" fontId="22" fillId="14" borderId="23" xfId="0" applyFont="1" applyFill="1" applyBorder="1" applyAlignment="1" applyProtection="1">
      <alignment horizontal="center" vertical="center"/>
    </xf>
    <xf numFmtId="169" fontId="0" fillId="4" borderId="40" xfId="0" applyNumberFormat="1" applyFont="1" applyFill="1" applyBorder="1" applyAlignment="1" applyProtection="1">
      <alignment horizontal="center" vertical="center"/>
    </xf>
    <xf numFmtId="0" fontId="0" fillId="12" borderId="43" xfId="0" applyFont="1" applyFill="1" applyBorder="1" applyAlignment="1" applyProtection="1">
      <alignment horizontal="left" vertical="center" wrapText="1" indent="1"/>
    </xf>
    <xf numFmtId="0" fontId="0" fillId="12" borderId="18" xfId="0" applyFont="1" applyFill="1" applyBorder="1" applyAlignment="1" applyProtection="1">
      <alignment horizontal="left" vertical="center" wrapText="1" indent="1"/>
    </xf>
    <xf numFmtId="0" fontId="0" fillId="12" borderId="33" xfId="0" applyFont="1" applyFill="1" applyBorder="1" applyAlignment="1" applyProtection="1">
      <alignment horizontal="center" vertical="center"/>
    </xf>
    <xf numFmtId="0" fontId="0" fillId="12" borderId="69" xfId="0" applyFont="1" applyFill="1" applyBorder="1" applyAlignment="1" applyProtection="1">
      <alignment horizontal="center" vertical="center"/>
    </xf>
    <xf numFmtId="169" fontId="44" fillId="0" borderId="22" xfId="0" applyNumberFormat="1" applyFont="1" applyFill="1" applyBorder="1" applyAlignment="1" applyProtection="1">
      <alignment horizontal="center" vertical="center" wrapText="1"/>
    </xf>
    <xf numFmtId="169" fontId="44" fillId="0" borderId="5" xfId="0" applyNumberFormat="1" applyFont="1" applyFill="1" applyBorder="1" applyAlignment="1" applyProtection="1">
      <alignment horizontal="center" vertical="center" wrapText="1"/>
    </xf>
    <xf numFmtId="0" fontId="0" fillId="0" borderId="0" xfId="0" applyProtection="1">
      <protection hidden="1"/>
    </xf>
    <xf numFmtId="0" fontId="6" fillId="0" borderId="0" xfId="0" applyFont="1" applyAlignment="1" applyProtection="1">
      <alignment horizontal="center"/>
      <protection hidden="1"/>
    </xf>
    <xf numFmtId="0" fontId="26" fillId="0" borderId="0" xfId="2" applyAlignment="1" applyProtection="1">
      <alignment horizontal="center"/>
      <protection hidden="1"/>
    </xf>
    <xf numFmtId="0" fontId="26" fillId="3" borderId="0" xfId="2" applyFill="1" applyAlignment="1" applyProtection="1">
      <alignment horizontal="center"/>
      <protection hidden="1"/>
    </xf>
    <xf numFmtId="0" fontId="27" fillId="0" borderId="0" xfId="1" applyFont="1" applyFill="1" applyAlignment="1" applyProtection="1">
      <alignment horizontal="left" indent="1"/>
      <protection hidden="1"/>
    </xf>
  </cellXfs>
  <cellStyles count="4">
    <cellStyle name="Hyperlink" xfId="1" builtinId="8"/>
    <cellStyle name="Normal" xfId="0" builtinId="0"/>
    <cellStyle name="Normal 2" xfId="2" xr:uid="{00000000-0005-0000-0000-000002000000}"/>
    <cellStyle name="Percent" xfId="3" builtinId="5"/>
  </cellStyles>
  <dxfs count="91">
    <dxf>
      <protection locked="1" hidden="1"/>
    </dxf>
    <dxf>
      <protection locked="1" hidden="1"/>
    </dxf>
    <dxf>
      <protection locked="1" hidden="1"/>
    </dxf>
    <dxf>
      <protection locked="1" hidden="1"/>
    </dxf>
    <dxf>
      <protection locked="1" hidden="1"/>
    </dxf>
    <dxf>
      <protection locked="1" hidden="1"/>
    </dxf>
    <dxf>
      <border diagonalUp="0" diagonalDown="0">
        <left style="thin">
          <color indexed="64"/>
        </left>
        <right style="thin">
          <color indexed="64"/>
        </right>
        <top/>
        <bottom/>
        <vertical style="thin">
          <color indexed="64"/>
        </vertical>
        <horizontal style="thin">
          <color indexed="64"/>
        </horizontal>
      </border>
      <protection locked="1" hidden="1"/>
    </dxf>
    <dxf>
      <font>
        <b val="0"/>
        <i val="0"/>
        <strike val="0"/>
        <condense val="0"/>
        <extend val="0"/>
        <outline val="0"/>
        <shadow val="0"/>
        <u val="none"/>
        <vertAlign val="baseline"/>
        <sz val="11"/>
        <color theme="1"/>
        <name val="Calibri"/>
        <scheme val="minor"/>
      </font>
      <numFmt numFmtId="0" formatCode="General"/>
      <fill>
        <patternFill patternType="solid">
          <fgColor indexed="64"/>
          <bgColor rgb="FFFFFFCC"/>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0" formatCode="General"/>
      <fill>
        <patternFill patternType="solid">
          <fgColor indexed="64"/>
          <bgColor rgb="FFFFFFCC"/>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0" formatCode="General"/>
      <fill>
        <patternFill patternType="solid">
          <fgColor indexed="64"/>
          <bgColor rgb="FFFFFFCC"/>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0" formatCode="General"/>
      <fill>
        <patternFill patternType="solid">
          <fgColor indexed="64"/>
          <bgColor rgb="FFFFFFCC"/>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0" formatCode="General"/>
      <fill>
        <patternFill patternType="solid">
          <fgColor indexed="64"/>
          <bgColor rgb="FFFFFFCC"/>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0" formatCode="General"/>
      <fill>
        <patternFill patternType="solid">
          <fgColor indexed="64"/>
          <bgColor rgb="FFFFFFCC"/>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0" formatCode="General"/>
      <fill>
        <patternFill patternType="solid">
          <fgColor indexed="64"/>
          <bgColor rgb="FFFFFFCC"/>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0" formatCode="General"/>
      <fill>
        <patternFill patternType="solid">
          <fgColor indexed="64"/>
          <bgColor rgb="FFFFFFCC"/>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0" formatCode="General"/>
      <fill>
        <patternFill patternType="solid">
          <fgColor indexed="64"/>
          <bgColor rgb="FFFFFFCC"/>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0" formatCode="General"/>
      <fill>
        <patternFill patternType="solid">
          <fgColor indexed="64"/>
          <bgColor rgb="FFFFFFCC"/>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168" formatCode="0\ &quot;µA&quot;"/>
      <fill>
        <patternFill patternType="solid">
          <fgColor indexed="64"/>
          <bgColor rgb="FFFFFFCC"/>
        </patternFill>
      </fill>
      <alignment horizontal="center" vertical="bottom" textRotation="0" wrapText="0" indent="0" justifyLastLine="0" shrinkToFit="0" readingOrder="0"/>
      <border diagonalUp="0" diagonalDown="0">
        <left/>
        <right style="thin">
          <color indexed="64"/>
        </right>
        <top style="thin">
          <color auto="1"/>
        </top>
        <bottom style="thin">
          <color auto="1"/>
        </bottom>
        <vertical/>
        <horizontal style="thin">
          <color auto="1"/>
        </horizontal>
      </border>
      <protection locked="1" hidden="1"/>
    </dxf>
    <dxf>
      <font>
        <b val="0"/>
        <i val="0"/>
        <strike val="0"/>
        <condense val="0"/>
        <extend val="0"/>
        <outline val="0"/>
        <shadow val="0"/>
        <u val="none"/>
        <vertAlign val="baseline"/>
        <sz val="11"/>
        <color theme="1"/>
        <name val="Calibri"/>
        <scheme val="none"/>
      </font>
      <numFmt numFmtId="172" formatCode="#,##0\ &quot;Ω&quot;"/>
      <fill>
        <patternFill patternType="solid">
          <fgColor indexed="64"/>
          <bgColor rgb="FFFFFFCC"/>
        </patternFill>
      </fill>
      <alignment horizontal="center" vertical="bottom" textRotation="0" wrapText="0" indent="0" justifyLastLine="0" shrinkToFit="0" readingOrder="0"/>
      <border diagonalUp="0" diagonalDown="0">
        <left/>
        <right/>
        <top style="thin">
          <color auto="1"/>
        </top>
        <bottom/>
        <vertical/>
        <horizontal/>
      </border>
      <protection locked="1" hidden="1"/>
    </dxf>
    <dxf>
      <font>
        <b val="0"/>
        <i val="0"/>
        <strike val="0"/>
        <condense val="0"/>
        <extend val="0"/>
        <outline val="0"/>
        <shadow val="0"/>
        <u val="none"/>
        <vertAlign val="baseline"/>
        <sz val="11"/>
        <color theme="1"/>
        <name val="Calibri"/>
        <scheme val="none"/>
      </font>
      <numFmt numFmtId="172" formatCode="#,##0\ &quot;Ω&quot;"/>
      <fill>
        <patternFill patternType="solid">
          <fgColor indexed="64"/>
          <bgColor rgb="FFFFFFCC"/>
        </patternFill>
      </fill>
      <alignment horizontal="center" vertical="bottom" textRotation="0" wrapText="0" indent="0" justifyLastLine="0" shrinkToFit="0" readingOrder="0"/>
      <border diagonalUp="0" diagonalDown="0">
        <left/>
        <right/>
        <top style="thin">
          <color auto="1"/>
        </top>
        <bottom/>
        <vertical/>
        <horizontal/>
      </border>
      <protection locked="1" hidden="1"/>
    </dxf>
    <dxf>
      <font>
        <b val="0"/>
        <i val="0"/>
        <strike val="0"/>
        <condense val="0"/>
        <extend val="0"/>
        <outline val="0"/>
        <shadow val="0"/>
        <u val="none"/>
        <vertAlign val="baseline"/>
        <sz val="11"/>
        <color theme="1"/>
        <name val="Calibri"/>
        <scheme val="none"/>
      </font>
      <numFmt numFmtId="172" formatCode="#,##0\ &quot;Ω&quot;"/>
      <fill>
        <patternFill patternType="solid">
          <fgColor indexed="64"/>
          <bgColor rgb="FFFFFFCC"/>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Calibri"/>
        <scheme val="none"/>
      </font>
      <numFmt numFmtId="172" formatCode="#,##0\ &quot;Ω&quot;"/>
      <fill>
        <patternFill patternType="solid">
          <fgColor indexed="64"/>
          <bgColor rgb="FFFFFFCC"/>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protection locked="1" hidden="1"/>
    </dxf>
    <dxf>
      <font>
        <b val="0"/>
        <i val="0"/>
        <strike val="0"/>
        <condense val="0"/>
        <extend val="0"/>
        <outline val="0"/>
        <shadow val="0"/>
        <u val="none"/>
        <vertAlign val="baseline"/>
        <sz val="11"/>
        <color theme="1"/>
        <name val="Calibri"/>
        <scheme val="none"/>
      </font>
      <numFmt numFmtId="175" formatCode="#,##0\ &quot;mV&quot;"/>
      <fill>
        <patternFill patternType="solid">
          <fgColor indexed="64"/>
          <bgColor rgb="FFFFFFCC"/>
        </patternFill>
      </fill>
      <alignment horizontal="center" vertical="bottom" textRotation="0" wrapText="0" indent="0" justifyLastLine="0" shrinkToFit="0" readingOrder="0"/>
      <border diagonalUp="0" diagonalDown="0">
        <left/>
        <right/>
        <top style="thin">
          <color auto="1"/>
        </top>
        <bottom/>
        <vertical/>
        <horizontal/>
      </border>
      <protection locked="1" hidden="1"/>
    </dxf>
    <dxf>
      <font>
        <b val="0"/>
        <i val="0"/>
        <strike val="0"/>
        <condense val="0"/>
        <extend val="0"/>
        <outline val="0"/>
        <shadow val="0"/>
        <u val="none"/>
        <vertAlign val="baseline"/>
        <sz val="11"/>
        <color theme="1"/>
        <name val="Calibri"/>
        <scheme val="none"/>
      </font>
      <numFmt numFmtId="175" formatCode="#,##0\ &quot;mV&quot;"/>
      <fill>
        <patternFill patternType="solid">
          <fgColor indexed="64"/>
          <bgColor rgb="FFFFFFCC"/>
        </patternFill>
      </fill>
      <alignment horizontal="center" vertical="bottom" textRotation="0" wrapText="0" indent="0" justifyLastLine="0" shrinkToFit="0" readingOrder="0"/>
      <border diagonalUp="0" diagonalDown="0">
        <left/>
        <right/>
        <top style="thin">
          <color auto="1"/>
        </top>
        <bottom/>
        <vertical/>
        <horizontal/>
      </border>
      <protection locked="1" hidden="1"/>
    </dxf>
    <dxf>
      <font>
        <b val="0"/>
        <i val="0"/>
        <strike val="0"/>
        <condense val="0"/>
        <extend val="0"/>
        <outline val="0"/>
        <shadow val="0"/>
        <u val="none"/>
        <vertAlign val="baseline"/>
        <sz val="11"/>
        <color theme="1"/>
        <name val="Calibri"/>
        <family val="2"/>
        <scheme val="none"/>
      </font>
      <numFmt numFmtId="175" formatCode="#,##0\ &quot;mV&quot;"/>
      <fill>
        <patternFill patternType="solid">
          <fgColor indexed="64"/>
          <bgColor rgb="FFFFFFCC"/>
        </patternFill>
      </fill>
      <alignment horizontal="center" vertical="bottom" textRotation="0" wrapText="0" indent="0" justifyLastLine="0" shrinkToFit="0" readingOrder="0"/>
      <border diagonalUp="0" diagonalDown="0">
        <left/>
        <right/>
        <top style="thin">
          <color auto="1"/>
        </top>
        <bottom/>
        <vertical/>
        <horizontal/>
      </border>
      <protection locked="1" hidden="1"/>
    </dxf>
    <dxf>
      <font>
        <b val="0"/>
        <i val="0"/>
        <strike val="0"/>
        <condense val="0"/>
        <extend val="0"/>
        <outline val="0"/>
        <shadow val="0"/>
        <u val="none"/>
        <vertAlign val="baseline"/>
        <sz val="11"/>
        <color theme="1"/>
        <name val="Calibri"/>
        <scheme val="none"/>
      </font>
      <numFmt numFmtId="175" formatCode="#,##0\ &quot;mV&quot;"/>
      <fill>
        <patternFill patternType="solid">
          <fgColor indexed="64"/>
          <bgColor rgb="FFFFFFCC"/>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Calibri"/>
        <scheme val="minor"/>
      </font>
      <numFmt numFmtId="165" formatCode="0\ &quot;ppm/°C&quot;"/>
      <fill>
        <patternFill patternType="solid">
          <fgColor indexed="64"/>
          <bgColor rgb="FFFFFFCC"/>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Calibri"/>
        <scheme val="minor"/>
      </font>
      <numFmt numFmtId="165" formatCode="0\ &quot;ppm/°C&quot;"/>
      <fill>
        <patternFill patternType="solid">
          <fgColor indexed="64"/>
          <bgColor rgb="FFFFFFCC"/>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Calibri"/>
        <scheme val="minor"/>
      </font>
      <numFmt numFmtId="14" formatCode="0.00%"/>
      <fill>
        <patternFill patternType="solid">
          <fgColor indexed="64"/>
          <bgColor rgb="FFFFFFCC"/>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Calibri"/>
        <scheme val="minor"/>
      </font>
      <numFmt numFmtId="14" formatCode="0.00%"/>
      <fill>
        <patternFill patternType="solid">
          <fgColor indexed="64"/>
          <bgColor rgb="FFFFFFCC"/>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Calibri"/>
        <scheme val="minor"/>
      </font>
      <numFmt numFmtId="167" formatCode="0.00\ &quot; µV/°C&quot;"/>
      <fill>
        <patternFill patternType="solid">
          <fgColor indexed="64"/>
          <bgColor rgb="FFFFFFCC"/>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Calibri"/>
        <scheme val="minor"/>
      </font>
      <numFmt numFmtId="167" formatCode="0.00\ &quot; µV/°C&quot;"/>
      <fill>
        <patternFill patternType="solid">
          <fgColor indexed="64"/>
          <bgColor rgb="FFFFFFCC"/>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Calibri"/>
        <scheme val="minor"/>
      </font>
      <numFmt numFmtId="166" formatCode="0.00\ &quot;mV&quot;"/>
      <fill>
        <patternFill patternType="solid">
          <fgColor indexed="64"/>
          <bgColor rgb="FFFFFFCC"/>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Calibri"/>
        <scheme val="minor"/>
      </font>
      <numFmt numFmtId="166" formatCode="0.00\ &quot;mV&quot;"/>
      <fill>
        <patternFill patternType="solid">
          <fgColor indexed="64"/>
          <bgColor rgb="FFFFFFCC"/>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Calibri"/>
        <scheme val="minor"/>
      </font>
      <numFmt numFmtId="165" formatCode="0\ &quot;ppm/°C&quot;"/>
      <fill>
        <patternFill patternType="solid">
          <fgColor indexed="64"/>
          <bgColor rgb="FFFFFFCC"/>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Calibri"/>
        <scheme val="minor"/>
      </font>
      <numFmt numFmtId="165" formatCode="0\ &quot;ppm/°C&quot;"/>
      <fill>
        <patternFill patternType="solid">
          <fgColor indexed="64"/>
          <bgColor rgb="FFFFFFCC"/>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Calibri"/>
        <scheme val="minor"/>
      </font>
      <numFmt numFmtId="14" formatCode="0.00%"/>
      <fill>
        <patternFill patternType="solid">
          <fgColor indexed="64"/>
          <bgColor rgb="FFFFFFCC"/>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Calibri"/>
        <scheme val="minor"/>
      </font>
      <numFmt numFmtId="14" formatCode="0.00%"/>
      <fill>
        <patternFill patternType="solid">
          <fgColor indexed="64"/>
          <bgColor rgb="FFFFFFCC"/>
        </patternFill>
      </fill>
      <alignment horizontal="center" vertical="bottom" textRotation="0" wrapText="0" indent="0" justifyLastLine="0" shrinkToFit="0" readingOrder="0"/>
      <border diagonalUp="0" diagonalDown="0">
        <left/>
        <right/>
        <top style="thin">
          <color auto="1"/>
        </top>
        <bottom style="thin">
          <color auto="1"/>
        </bottom>
      </border>
      <protection locked="1" hidden="1"/>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rgb="FFFFFFCC"/>
        </patternFill>
      </fill>
      <alignment horizontal="center" vertical="bottom" textRotation="0" wrapText="0" indent="0" justifyLastLine="0" shrinkToFit="0" readingOrder="0"/>
      <border diagonalUp="0" diagonalDown="0">
        <left/>
        <right/>
        <top style="thin">
          <color auto="1"/>
        </top>
        <bottom style="thin">
          <color auto="1"/>
        </bottom>
        <vertical/>
        <horizontal/>
      </border>
      <protection locked="1" hidden="1"/>
    </dxf>
    <dxf>
      <numFmt numFmtId="30" formatCode="@"/>
      <fill>
        <patternFill patternType="solid">
          <fgColor indexed="64"/>
          <bgColor rgb="FFFFFFCC"/>
        </patternFill>
      </fill>
      <alignment horizontal="center" vertical="bottom" textRotation="0" wrapText="0" indent="0" justifyLastLine="0" shrinkToFit="0" readingOrder="0"/>
      <border diagonalUp="0" diagonalDown="0">
        <left style="thin">
          <color indexed="64"/>
        </left>
        <right/>
        <top/>
        <bottom/>
        <vertical/>
        <horizontal/>
      </border>
      <protection locked="1" hidden="1"/>
    </dxf>
    <dxf>
      <alignment horizontal="left" vertical="bottom" textRotation="0" wrapText="0" indent="0" justifyLastLine="0" shrinkToFit="0" readingOrder="0"/>
      <border>
        <right style="thin">
          <color indexed="64"/>
        </right>
      </border>
      <protection locked="1" hidden="1"/>
    </dxf>
    <dxf>
      <border outline="0">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rgb="FFFFFFCC"/>
        </patternFill>
      </fill>
      <alignment horizontal="center" vertical="bottom" textRotation="0" wrapText="0" indent="0" justifyLastLine="0" shrinkToFit="0" readingOrder="0"/>
      <protection locked="1" hidden="1"/>
    </dxf>
    <dxf>
      <border>
        <bottom style="thin">
          <color indexed="64"/>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right/>
        <top/>
        <bottom/>
        <vertical/>
        <horizontal/>
      </border>
      <protection locked="1" hidden="1"/>
    </dxf>
    <dxf>
      <font>
        <b val="0"/>
        <i val="0"/>
        <strike val="0"/>
        <condense val="0"/>
        <extend val="0"/>
        <outline val="0"/>
        <shadow val="0"/>
        <u val="none"/>
        <vertAlign val="baseline"/>
        <sz val="14"/>
        <color rgb="FF464646"/>
        <name val="Arial"/>
        <scheme val="none"/>
      </font>
      <numFmt numFmtId="0" formatCode="General"/>
      <fill>
        <patternFill patternType="solid">
          <fgColor indexed="64"/>
          <bgColor rgb="FFF7F7F7"/>
        </patternFill>
      </fill>
      <alignment horizontal="center" vertical="center" textRotation="0" wrapText="1" indent="0" justifyLastLine="0" shrinkToFit="0" readingOrder="0"/>
      <protection hidden="0"/>
    </dxf>
    <dxf>
      <font>
        <b val="0"/>
        <i val="0"/>
        <strike val="0"/>
        <condense val="0"/>
        <extend val="0"/>
        <outline val="0"/>
        <shadow val="0"/>
        <u val="none"/>
        <vertAlign val="baseline"/>
        <sz val="14"/>
        <color rgb="FF464646"/>
        <name val="Arial"/>
        <scheme val="none"/>
      </font>
      <numFmt numFmtId="0" formatCode="General"/>
      <fill>
        <patternFill patternType="solid">
          <fgColor indexed="64"/>
          <bgColor rgb="FFF7F7F7"/>
        </patternFill>
      </fill>
      <alignment horizontal="center" vertical="center" textRotation="0" wrapText="1" indent="0" justifyLastLine="0" shrinkToFit="0" readingOrder="0"/>
      <protection hidden="0"/>
    </dxf>
    <dxf>
      <font>
        <b val="0"/>
        <i val="0"/>
        <strike val="0"/>
        <condense val="0"/>
        <extend val="0"/>
        <outline val="0"/>
        <shadow val="0"/>
        <u val="none"/>
        <vertAlign val="baseline"/>
        <sz val="14"/>
        <color rgb="FF464646"/>
        <name val="Arial"/>
        <scheme val="none"/>
      </font>
      <numFmt numFmtId="0" formatCode="General"/>
      <fill>
        <patternFill patternType="solid">
          <fgColor indexed="64"/>
          <bgColor rgb="FFF7F7F7"/>
        </patternFill>
      </fill>
      <alignment horizontal="center" vertical="center" textRotation="0" wrapText="1" indent="0" justifyLastLine="0" shrinkToFit="0" readingOrder="0"/>
      <protection hidden="0"/>
    </dxf>
    <dxf>
      <font>
        <b val="0"/>
        <i val="0"/>
        <strike val="0"/>
        <condense val="0"/>
        <extend val="0"/>
        <outline val="0"/>
        <shadow val="0"/>
        <u val="none"/>
        <vertAlign val="baseline"/>
        <sz val="14"/>
        <color rgb="FF464646"/>
        <name val="Arial"/>
        <scheme val="none"/>
      </font>
      <numFmt numFmtId="0" formatCode="General"/>
      <fill>
        <patternFill patternType="solid">
          <fgColor indexed="64"/>
          <bgColor rgb="FFF7F7F7"/>
        </patternFill>
      </fill>
      <alignment horizontal="center" vertical="center" textRotation="0" wrapText="1" indent="0" justifyLastLine="0" shrinkToFit="0" readingOrder="0"/>
      <protection hidden="0"/>
    </dxf>
    <dxf>
      <font>
        <b val="0"/>
        <i val="0"/>
        <strike val="0"/>
        <condense val="0"/>
        <extend val="0"/>
        <outline val="0"/>
        <shadow val="0"/>
        <u val="none"/>
        <vertAlign val="baseline"/>
        <sz val="14"/>
        <color rgb="FF464646"/>
        <name val="Arial"/>
        <scheme val="none"/>
      </font>
      <numFmt numFmtId="0" formatCode="General"/>
      <fill>
        <patternFill patternType="solid">
          <fgColor indexed="64"/>
          <bgColor rgb="FFF7F7F7"/>
        </patternFill>
      </fill>
      <alignment horizontal="center" vertical="center" textRotation="0" wrapText="1" indent="0" justifyLastLine="0" shrinkToFit="0" readingOrder="0"/>
      <protection hidden="0"/>
    </dxf>
    <dxf>
      <font>
        <b val="0"/>
        <i val="0"/>
        <strike val="0"/>
        <condense val="0"/>
        <extend val="0"/>
        <outline val="0"/>
        <shadow val="0"/>
        <u val="none"/>
        <vertAlign val="baseline"/>
        <sz val="14"/>
        <color rgb="FF464646"/>
        <name val="Arial"/>
        <scheme val="none"/>
      </font>
      <numFmt numFmtId="0" formatCode="General"/>
      <fill>
        <patternFill patternType="solid">
          <fgColor indexed="64"/>
          <bgColor rgb="FFF7F7F7"/>
        </patternFill>
      </fill>
      <alignment horizontal="center" vertical="center" textRotation="0" wrapText="1" indent="0" justifyLastLine="0" shrinkToFit="0" readingOrder="0"/>
      <protection hidden="0"/>
    </dxf>
    <dxf>
      <font>
        <b val="0"/>
        <i val="0"/>
        <strike val="0"/>
        <condense val="0"/>
        <extend val="0"/>
        <outline val="0"/>
        <shadow val="0"/>
        <u val="none"/>
        <vertAlign val="baseline"/>
        <sz val="14"/>
        <color rgb="FF464646"/>
        <name val="Arial"/>
        <scheme val="none"/>
      </font>
      <numFmt numFmtId="0" formatCode="General"/>
      <fill>
        <patternFill patternType="solid">
          <fgColor indexed="64"/>
          <bgColor rgb="FFF7F7F7"/>
        </patternFill>
      </fill>
      <alignment horizontal="center" vertical="center" textRotation="0" wrapText="1" indent="0" justifyLastLine="0" shrinkToFit="0" readingOrder="0"/>
      <protection hidden="0"/>
    </dxf>
    <dxf>
      <font>
        <b val="0"/>
        <i val="0"/>
        <strike val="0"/>
        <condense val="0"/>
        <extend val="0"/>
        <outline val="0"/>
        <shadow val="0"/>
        <u val="none"/>
        <vertAlign val="baseline"/>
        <sz val="14"/>
        <color rgb="FF464646"/>
        <name val="Arial"/>
        <scheme val="none"/>
      </font>
      <numFmt numFmtId="0" formatCode="General"/>
      <fill>
        <patternFill patternType="solid">
          <fgColor indexed="64"/>
          <bgColor rgb="FFF7F7F7"/>
        </patternFill>
      </fill>
      <alignment horizontal="center" vertical="center" textRotation="0" wrapText="1" indent="0" justifyLastLine="0" shrinkToFit="0" readingOrder="0"/>
      <protection hidden="0"/>
    </dxf>
    <dxf>
      <font>
        <b val="0"/>
        <i val="0"/>
        <strike val="0"/>
        <condense val="0"/>
        <extend val="0"/>
        <outline val="0"/>
        <shadow val="0"/>
        <u val="none"/>
        <vertAlign val="baseline"/>
        <sz val="14"/>
        <color rgb="FF464646"/>
        <name val="Arial"/>
        <scheme val="none"/>
      </font>
      <numFmt numFmtId="1" formatCode="0"/>
      <fill>
        <patternFill patternType="solid">
          <fgColor indexed="64"/>
          <bgColor rgb="FFF7F7F7"/>
        </patternFill>
      </fill>
      <alignment horizontal="center" vertical="center" textRotation="0" wrapText="1" indent="0" justifyLastLine="0" shrinkToFit="0" readingOrder="0"/>
      <border diagonalUp="0" diagonalDown="0">
        <left/>
        <right style="medium">
          <color rgb="FFC0C0C9"/>
        </right>
        <top/>
        <bottom/>
        <vertical/>
        <horizontal/>
      </border>
      <protection hidden="0"/>
    </dxf>
    <dxf>
      <font>
        <b val="0"/>
        <i val="0"/>
        <strike val="0"/>
        <condense val="0"/>
        <extend val="0"/>
        <outline val="0"/>
        <shadow val="0"/>
        <u val="none"/>
        <vertAlign val="baseline"/>
        <sz val="14"/>
        <color rgb="FF464646"/>
        <name val="Arial"/>
        <scheme val="none"/>
      </font>
      <fill>
        <patternFill patternType="solid">
          <fgColor indexed="64"/>
          <bgColor rgb="FFF7F7F7"/>
        </patternFill>
      </fill>
      <alignment horizontal="center" vertical="center" textRotation="0" wrapText="1" indent="0" justifyLastLine="0" shrinkToFit="0" readingOrder="0"/>
      <border diagonalUp="0" diagonalDown="0">
        <left/>
        <right style="medium">
          <color rgb="FFC0C0C9"/>
        </right>
        <top/>
        <bottom/>
        <vertical/>
        <horizontal/>
      </border>
      <protection hidden="0"/>
    </dxf>
    <dxf>
      <border outline="0">
        <bottom style="medium">
          <color rgb="FFC0C0C9"/>
        </bottom>
      </border>
    </dxf>
    <dxf>
      <font>
        <b val="0"/>
        <i val="0"/>
        <strike val="0"/>
        <condense val="0"/>
        <extend val="0"/>
        <outline val="0"/>
        <shadow val="0"/>
        <u val="none"/>
        <vertAlign val="baseline"/>
        <sz val="14"/>
        <color rgb="FF464646"/>
        <name val="Arial"/>
        <scheme val="none"/>
      </font>
      <fill>
        <patternFill patternType="solid">
          <fgColor indexed="64"/>
          <bgColor rgb="FFF7F7F7"/>
        </patternFill>
      </fill>
      <alignment horizontal="center" vertical="center" textRotation="0" wrapText="1" indent="0" justifyLastLine="0" shrinkToFit="0" readingOrder="0"/>
      <protection hidden="0"/>
    </dxf>
    <dxf>
      <protection hidden="0"/>
    </dxf>
    <dxf>
      <font>
        <color rgb="FF9C0006"/>
      </font>
    </dxf>
    <dxf>
      <font>
        <color rgb="FF9C0006"/>
      </font>
      <fill>
        <patternFill>
          <bgColor rgb="FFFFC7CE"/>
        </patternFill>
      </fill>
    </dxf>
    <dxf>
      <font>
        <color auto="1"/>
      </font>
      <fill>
        <patternFill>
          <bgColor rgb="FFFFFFCC"/>
        </patternFill>
      </fill>
      <border>
        <right style="thin">
          <color auto="1"/>
        </right>
      </border>
    </dxf>
    <dxf>
      <fill>
        <patternFill>
          <bgColor theme="0"/>
        </patternFill>
      </fill>
      <border>
        <right/>
      </border>
    </dxf>
    <dxf>
      <fill>
        <patternFill>
          <bgColor theme="0"/>
        </patternFill>
      </fill>
      <border>
        <right/>
      </border>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39994506668294322"/>
        </patternFill>
      </fill>
    </dxf>
    <dxf>
      <font>
        <b/>
        <i val="0"/>
        <color theme="0"/>
      </font>
      <fill>
        <patternFill>
          <bgColor rgb="FFFF0000"/>
        </patternFill>
      </fill>
    </dxf>
    <dxf>
      <font>
        <color auto="1"/>
      </font>
      <fill>
        <patternFill>
          <bgColor rgb="FFCCFFCC"/>
        </patternFill>
      </fill>
    </dxf>
    <dxf>
      <fill>
        <patternFill>
          <bgColor theme="9" tint="0.39994506668294322"/>
        </patternFill>
      </fill>
    </dxf>
    <dxf>
      <fill>
        <patternFill>
          <bgColor theme="0"/>
        </patternFill>
      </fill>
      <border>
        <right/>
      </border>
    </dxf>
    <dxf>
      <fill>
        <patternFill>
          <bgColor theme="0"/>
        </patternFill>
      </fill>
      <border>
        <right/>
      </border>
    </dxf>
    <dxf>
      <fill>
        <patternFill>
          <bgColor theme="0"/>
        </patternFill>
      </fill>
      <border>
        <right/>
      </border>
    </dxf>
    <dxf>
      <fill>
        <patternFill>
          <bgColor theme="0"/>
        </patternFill>
      </fill>
      <border>
        <right/>
      </border>
    </dxf>
    <dxf>
      <fill>
        <patternFill>
          <bgColor theme="0"/>
        </patternFill>
      </fill>
      <border>
        <right/>
      </border>
    </dxf>
    <dxf>
      <fill>
        <patternFill>
          <bgColor theme="0"/>
        </patternFill>
      </fill>
      <border>
        <right/>
      </border>
    </dxf>
    <dxf>
      <fill>
        <patternFill>
          <bgColor theme="0"/>
        </patternFill>
      </fill>
      <border>
        <right/>
      </border>
    </dxf>
    <dxf>
      <fill>
        <patternFill>
          <bgColor theme="0"/>
        </patternFill>
      </fill>
      <border>
        <right/>
      </border>
    </dxf>
    <dxf>
      <fill>
        <patternFill>
          <bgColor theme="0"/>
        </patternFill>
      </fill>
    </dxf>
    <dxf>
      <fill>
        <patternFill>
          <bgColor theme="0"/>
        </patternFill>
      </fill>
    </dxf>
    <dxf>
      <fill>
        <patternFill>
          <bgColor theme="0"/>
        </patternFill>
      </fill>
    </dxf>
    <dxf>
      <font>
        <color theme="0"/>
      </font>
      <fill>
        <patternFill>
          <bgColor rgb="FFFF0000"/>
        </patternFill>
      </fill>
    </dxf>
    <dxf>
      <fill>
        <patternFill>
          <bgColor theme="0"/>
        </patternFill>
      </fill>
    </dxf>
    <dxf>
      <fill>
        <patternFill>
          <bgColor theme="0"/>
        </patternFill>
      </fill>
    </dxf>
    <dxf>
      <font>
        <color theme="0"/>
      </font>
      <fill>
        <patternFill>
          <bgColor rgb="FFFF0000"/>
        </patternFill>
      </fill>
    </dxf>
    <dxf>
      <fill>
        <patternFill>
          <bgColor theme="0"/>
        </patternFill>
      </fill>
    </dxf>
    <dxf>
      <font>
        <color theme="0"/>
      </font>
      <fill>
        <patternFill>
          <bgColor rgb="FFFF0000"/>
        </patternFill>
      </fill>
    </dxf>
    <dxf>
      <fill>
        <patternFill>
          <bgColor theme="0"/>
        </patternFill>
      </fill>
    </dxf>
    <dxf>
      <font>
        <color theme="0"/>
      </font>
      <fill>
        <patternFill>
          <bgColor rgb="FFFF0000"/>
        </patternFill>
      </fill>
      <border>
        <right/>
        <vertical/>
        <horizontal/>
      </border>
    </dxf>
    <dxf>
      <fill>
        <patternFill>
          <bgColor theme="0"/>
        </patternFill>
      </fill>
      <border>
        <right/>
      </border>
    </dxf>
    <dxf>
      <fill>
        <patternFill>
          <bgColor theme="0"/>
        </patternFill>
      </fill>
    </dxf>
  </dxfs>
  <tableStyles count="0" defaultTableStyle="TableStyleMedium2" defaultPivotStyle="PivotStyleMedium9"/>
  <colors>
    <mruColors>
      <color rgb="FFFFFFCC"/>
      <color rgb="FF00FF00"/>
      <color rgb="FFBDEEFF"/>
      <color rgb="FFCCFFCC"/>
      <color rgb="FF89E0FF"/>
      <color rgb="FFDE0000"/>
      <color rgb="FFFFFFFF"/>
      <color rgb="FF47C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http://www.ti.co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e2e.ti.com/" TargetMode="External"/><Relationship Id="rId2" Type="http://schemas.openxmlformats.org/officeDocument/2006/relationships/image" Target="../media/image1.gif"/><Relationship Id="rId1" Type="http://schemas.openxmlformats.org/officeDocument/2006/relationships/hyperlink" Target="http://www.ti.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http://www.ti.com"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gif"/><Relationship Id="rId1" Type="http://schemas.openxmlformats.org/officeDocument/2006/relationships/hyperlink" Target="http://www.ti.com" TargetMode="External"/><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gif"/><Relationship Id="rId1" Type="http://schemas.openxmlformats.org/officeDocument/2006/relationships/hyperlink" Target="http://www.ti.com" TargetMode="External"/><Relationship Id="rId5" Type="http://schemas.openxmlformats.org/officeDocument/2006/relationships/image" Target="../media/image7.png"/><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hyperlink" Target="http://e2e.ti.com/" TargetMode="External"/><Relationship Id="rId2" Type="http://schemas.openxmlformats.org/officeDocument/2006/relationships/image" Target="../media/image1.gif"/><Relationship Id="rId1" Type="http://schemas.openxmlformats.org/officeDocument/2006/relationships/hyperlink" Target="http://www.ti.com"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152400</xdr:rowOff>
    </xdr:from>
    <xdr:to>
      <xdr:col>3</xdr:col>
      <xdr:colOff>466725</xdr:colOff>
      <xdr:row>2</xdr:row>
      <xdr:rowOff>66626</xdr:rowOff>
    </xdr:to>
    <xdr:pic>
      <xdr:nvPicPr>
        <xdr:cNvPr id="2" name="Picture 1" descr="ti logo">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 y="152400"/>
          <a:ext cx="2314575" cy="295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638175</xdr:colOff>
      <xdr:row>0</xdr:row>
      <xdr:rowOff>133350</xdr:rowOff>
    </xdr:from>
    <xdr:ext cx="9070974" cy="342786"/>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368675" y="133350"/>
          <a:ext cx="9070974"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1600" b="1">
              <a:latin typeface="+mn-lt"/>
            </a:rPr>
            <a:t>Isolated Amplifier Voltage</a:t>
          </a:r>
          <a:r>
            <a:rPr lang="en-US" sz="1600" b="1" baseline="0">
              <a:latin typeface="+mn-lt"/>
            </a:rPr>
            <a:t> Sensing Calculator: </a:t>
          </a:r>
          <a:r>
            <a:rPr lang="en-US" sz="1600" b="1">
              <a:latin typeface="+mn-lt"/>
            </a:rPr>
            <a:t>Table of Contents</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152400</xdr:rowOff>
    </xdr:from>
    <xdr:ext cx="2314575" cy="295226"/>
    <xdr:pic>
      <xdr:nvPicPr>
        <xdr:cNvPr id="2" name="Picture 1" descr="ti logo">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 y="152400"/>
          <a:ext cx="2314575" cy="29522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558800</xdr:colOff>
      <xdr:row>0</xdr:row>
      <xdr:rowOff>82550</xdr:rowOff>
    </xdr:from>
    <xdr:ext cx="3752850" cy="342786"/>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673850" y="82550"/>
          <a:ext cx="3752850"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600" b="1">
              <a:latin typeface="+mn-lt"/>
            </a:rPr>
            <a:t>How to use this tool...</a:t>
          </a:r>
        </a:p>
      </xdr:txBody>
    </xdr:sp>
    <xdr:clientData/>
  </xdr:oneCellAnchor>
  <xdr:oneCellAnchor>
    <xdr:from>
      <xdr:col>0</xdr:col>
      <xdr:colOff>47625</xdr:colOff>
      <xdr:row>5</xdr:row>
      <xdr:rowOff>0</xdr:rowOff>
    </xdr:from>
    <xdr:ext cx="184731" cy="264560"/>
    <xdr:sp macro="" textlink="">
      <xdr:nvSpPr>
        <xdr:cNvPr id="4" name="TextBox 3">
          <a:hlinkClick xmlns:r="http://schemas.openxmlformats.org/officeDocument/2006/relationships" r:id="rId3"/>
          <a:extLst>
            <a:ext uri="{FF2B5EF4-FFF2-40B4-BE49-F238E27FC236}">
              <a16:creationId xmlns:a16="http://schemas.microsoft.com/office/drawing/2014/main" id="{00000000-0008-0000-0100-000004000000}"/>
            </a:ext>
          </a:extLst>
        </xdr:cNvPr>
        <xdr:cNvSpPr txBox="1"/>
      </xdr:nvSpPr>
      <xdr:spPr>
        <a:xfrm>
          <a:off x="47625" y="102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0</xdr:row>
      <xdr:rowOff>152400</xdr:rowOff>
    </xdr:from>
    <xdr:to>
      <xdr:col>3</xdr:col>
      <xdr:colOff>473075</xdr:colOff>
      <xdr:row>2</xdr:row>
      <xdr:rowOff>79326</xdr:rowOff>
    </xdr:to>
    <xdr:pic>
      <xdr:nvPicPr>
        <xdr:cNvPr id="2" name="Picture 1" descr="ti logo">
          <a:hlinkClick xmlns:r="http://schemas.openxmlformats.org/officeDocument/2006/relationships" r:id="rId1"/>
          <a:extLst>
            <a:ext uri="{FF2B5EF4-FFF2-40B4-BE49-F238E27FC236}">
              <a16:creationId xmlns:a16="http://schemas.microsoft.com/office/drawing/2014/main" id="{63FEC426-F9E1-430A-936A-7492718743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550" y="152400"/>
          <a:ext cx="2352675" cy="2984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638175</xdr:colOff>
      <xdr:row>0</xdr:row>
      <xdr:rowOff>133350</xdr:rowOff>
    </xdr:from>
    <xdr:ext cx="9070974" cy="342786"/>
    <xdr:sp macro="" textlink="">
      <xdr:nvSpPr>
        <xdr:cNvPr id="3" name="TextBox 2">
          <a:extLst>
            <a:ext uri="{FF2B5EF4-FFF2-40B4-BE49-F238E27FC236}">
              <a16:creationId xmlns:a16="http://schemas.microsoft.com/office/drawing/2014/main" id="{ABFE37BE-4A38-4A84-B751-3649402818D1}"/>
            </a:ext>
          </a:extLst>
        </xdr:cNvPr>
        <xdr:cNvSpPr txBox="1"/>
      </xdr:nvSpPr>
      <xdr:spPr>
        <a:xfrm>
          <a:off x="3530600" y="133350"/>
          <a:ext cx="9070974"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1600" b="1">
              <a:latin typeface="+mn-lt"/>
            </a:rPr>
            <a:t>Isolated Amplifier</a:t>
          </a:r>
          <a:r>
            <a:rPr lang="en-US" sz="1600" b="1" baseline="0">
              <a:latin typeface="+mn-lt"/>
            </a:rPr>
            <a:t> Voltage Sensing Calculator: Directions</a:t>
          </a:r>
          <a:endParaRPr lang="en-US" sz="1600" b="1">
            <a:latin typeface="+mn-l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219075</xdr:colOff>
      <xdr:row>0</xdr:row>
      <xdr:rowOff>85725</xdr:rowOff>
    </xdr:from>
    <xdr:ext cx="8763000" cy="468013"/>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838325" y="85725"/>
          <a:ext cx="8763000"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2400" b="1">
              <a:latin typeface="+mn-lt"/>
              <a:cs typeface="Calibri" panose="020F0502020204030204" pitchFamily="34" charset="0"/>
            </a:rPr>
            <a:t>Isolated Amplifier Voltage Sensing Calculator</a:t>
          </a:r>
        </a:p>
      </xdr:txBody>
    </xdr:sp>
    <xdr:clientData/>
  </xdr:oneCellAnchor>
  <xdr:twoCellAnchor editAs="oneCell">
    <xdr:from>
      <xdr:col>0</xdr:col>
      <xdr:colOff>95250</xdr:colOff>
      <xdr:row>0</xdr:row>
      <xdr:rowOff>133350</xdr:rowOff>
    </xdr:from>
    <xdr:to>
      <xdr:col>2</xdr:col>
      <xdr:colOff>912283</xdr:colOff>
      <xdr:row>2</xdr:row>
      <xdr:rowOff>69801</xdr:rowOff>
    </xdr:to>
    <xdr:pic>
      <xdr:nvPicPr>
        <xdr:cNvPr id="9" name="Picture 8" descr="ti logo">
          <a:hlinkClick xmlns:r="http://schemas.openxmlformats.org/officeDocument/2006/relationships" r:id="rId1"/>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133350"/>
          <a:ext cx="2324100" cy="314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7409</xdr:colOff>
          <xdr:row>5</xdr:row>
          <xdr:rowOff>0</xdr:rowOff>
        </xdr:from>
        <xdr:to>
          <xdr:col>4</xdr:col>
          <xdr:colOff>1139825</xdr:colOff>
          <xdr:row>21</xdr:row>
          <xdr:rowOff>123650</xdr:rowOff>
        </xdr:to>
        <xdr:pic>
          <xdr:nvPicPr>
            <xdr:cNvPr id="12" name="Picture 11">
              <a:extLst>
                <a:ext uri="{FF2B5EF4-FFF2-40B4-BE49-F238E27FC236}">
                  <a16:creationId xmlns:a16="http://schemas.microsoft.com/office/drawing/2014/main" id="{00000000-0008-0000-0200-00000C000000}"/>
                </a:ext>
              </a:extLst>
            </xdr:cNvPr>
            <xdr:cNvPicPr>
              <a:picLocks noChangeAspect="1"/>
              <a:extLst>
                <a:ext uri="{84589F7E-364E-4C9E-8A38-B11213B215E9}">
                  <a14:cameraTool cellRange="Picture" spid="_x0000_s13205"/>
                </a:ext>
              </a:extLst>
            </xdr:cNvPicPr>
          </xdr:nvPicPr>
          <xdr:blipFill>
            <a:blip xmlns:r="http://schemas.openxmlformats.org/officeDocument/2006/relationships" r:embed="rId3"/>
            <a:stretch>
              <a:fillRect/>
            </a:stretch>
          </xdr:blipFill>
          <xdr:spPr>
            <a:xfrm>
              <a:off x="188384" y="952500"/>
              <a:ext cx="5323416" cy="3200225"/>
            </a:xfrm>
            <a:prstGeom prst="rect">
              <a:avLst/>
            </a:prstGeom>
            <a:ln>
              <a:solidFill>
                <a:srgbClr val="FF0000"/>
              </a:solidFill>
            </a:ln>
          </xdr:spPr>
        </xdr:pic>
        <xdr:clientData/>
      </xdr:twoCellAnchor>
    </mc:Choice>
    <mc:Fallback/>
  </mc:AlternateContent>
  <xdr:twoCellAnchor editAs="oneCell">
    <xdr:from>
      <xdr:col>1</xdr:col>
      <xdr:colOff>22224</xdr:colOff>
      <xdr:row>51</xdr:row>
      <xdr:rowOff>28258</xdr:rowOff>
    </xdr:from>
    <xdr:to>
      <xdr:col>8</xdr:col>
      <xdr:colOff>904874</xdr:colOff>
      <xdr:row>60</xdr:row>
      <xdr:rowOff>6350</xdr:rowOff>
    </xdr:to>
    <xdr:pic>
      <xdr:nvPicPr>
        <xdr:cNvPr id="4" name="Picture 3">
          <a:extLst>
            <a:ext uri="{FF2B5EF4-FFF2-40B4-BE49-F238E27FC236}">
              <a16:creationId xmlns:a16="http://schemas.microsoft.com/office/drawing/2014/main" id="{8332DEC7-B009-408F-99D6-74398265B045}"/>
            </a:ext>
          </a:extLst>
        </xdr:cNvPr>
        <xdr:cNvPicPr>
          <a:picLocks noChangeAspect="1"/>
        </xdr:cNvPicPr>
      </xdr:nvPicPr>
      <xdr:blipFill rotWithShape="1">
        <a:blip xmlns:r="http://schemas.openxmlformats.org/officeDocument/2006/relationships" r:embed="rId4"/>
        <a:srcRect l="-16231" t="-988" r="-14066" b="1718"/>
        <a:stretch/>
      </xdr:blipFill>
      <xdr:spPr>
        <a:xfrm>
          <a:off x="203199" y="9839008"/>
          <a:ext cx="8258175" cy="2876867"/>
        </a:xfrm>
        <a:prstGeom prst="rect">
          <a:avLst/>
        </a:prstGeom>
        <a:ln>
          <a:solidFill>
            <a:srgbClr val="FF0000"/>
          </a:solid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4</xdr:col>
      <xdr:colOff>438150</xdr:colOff>
      <xdr:row>0</xdr:row>
      <xdr:rowOff>82550</xdr:rowOff>
    </xdr:from>
    <xdr:ext cx="8763000" cy="342786"/>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273238" y="82550"/>
          <a:ext cx="8763000"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600" b="1">
              <a:latin typeface="+mn-lt"/>
            </a:rPr>
            <a:t>Device Comparison</a:t>
          </a:r>
        </a:p>
      </xdr:txBody>
    </xdr:sp>
    <xdr:clientData/>
  </xdr:oneCellAnchor>
  <xdr:twoCellAnchor editAs="oneCell">
    <xdr:from>
      <xdr:col>0</xdr:col>
      <xdr:colOff>95250</xdr:colOff>
      <xdr:row>0</xdr:row>
      <xdr:rowOff>142875</xdr:rowOff>
    </xdr:from>
    <xdr:to>
      <xdr:col>1</xdr:col>
      <xdr:colOff>838947</xdr:colOff>
      <xdr:row>2</xdr:row>
      <xdr:rowOff>76151</xdr:rowOff>
    </xdr:to>
    <xdr:pic>
      <xdr:nvPicPr>
        <xdr:cNvPr id="5" name="Picture 4" descr="ti logo">
          <a:hlinkClick xmlns:r="http://schemas.openxmlformats.org/officeDocument/2006/relationships" r:id="rId1"/>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142875"/>
          <a:ext cx="2324100" cy="314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48078</xdr:colOff>
      <xdr:row>250</xdr:row>
      <xdr:rowOff>214745</xdr:rowOff>
    </xdr:from>
    <xdr:to>
      <xdr:col>80</xdr:col>
      <xdr:colOff>904</xdr:colOff>
      <xdr:row>250</xdr:row>
      <xdr:rowOff>3475762</xdr:rowOff>
    </xdr:to>
    <xdr:pic>
      <xdr:nvPicPr>
        <xdr:cNvPr id="3" name="Picture 2">
          <a:extLst>
            <a:ext uri="{FF2B5EF4-FFF2-40B4-BE49-F238E27FC236}">
              <a16:creationId xmlns:a16="http://schemas.microsoft.com/office/drawing/2014/main" id="{D9CA586B-AA5B-4FFF-B648-A0F149D1509C}"/>
            </a:ext>
          </a:extLst>
        </xdr:cNvPr>
        <xdr:cNvPicPr>
          <a:picLocks noChangeAspect="1"/>
        </xdr:cNvPicPr>
      </xdr:nvPicPr>
      <xdr:blipFill rotWithShape="1">
        <a:blip xmlns:r="http://schemas.openxmlformats.org/officeDocument/2006/relationships" r:embed="rId3"/>
        <a:srcRect l="2450" t="9093"/>
        <a:stretch/>
      </xdr:blipFill>
      <xdr:spPr>
        <a:xfrm>
          <a:off x="49455614" y="48792245"/>
          <a:ext cx="7391851" cy="3267367"/>
        </a:xfrm>
        <a:prstGeom prst="rect">
          <a:avLst/>
        </a:prstGeom>
      </xdr:spPr>
    </xdr:pic>
    <xdr:clientData/>
  </xdr:twoCellAnchor>
  <xdr:twoCellAnchor editAs="oneCell">
    <xdr:from>
      <xdr:col>79</xdr:col>
      <xdr:colOff>144991</xdr:colOff>
      <xdr:row>248</xdr:row>
      <xdr:rowOff>208189</xdr:rowOff>
    </xdr:from>
    <xdr:to>
      <xdr:col>80</xdr:col>
      <xdr:colOff>2268</xdr:colOff>
      <xdr:row>248</xdr:row>
      <xdr:rowOff>3479086</xdr:rowOff>
    </xdr:to>
    <xdr:pic>
      <xdr:nvPicPr>
        <xdr:cNvPr id="4" name="Picture 3">
          <a:extLst>
            <a:ext uri="{FF2B5EF4-FFF2-40B4-BE49-F238E27FC236}">
              <a16:creationId xmlns:a16="http://schemas.microsoft.com/office/drawing/2014/main" id="{99CE5E89-1B17-4A22-8885-F39751B5E84F}"/>
            </a:ext>
          </a:extLst>
        </xdr:cNvPr>
        <xdr:cNvPicPr>
          <a:picLocks noChangeAspect="1"/>
        </xdr:cNvPicPr>
      </xdr:nvPicPr>
      <xdr:blipFill rotWithShape="1">
        <a:blip xmlns:r="http://schemas.openxmlformats.org/officeDocument/2006/relationships" r:embed="rId4"/>
        <a:srcRect l="3499" t="10998"/>
        <a:stretch/>
      </xdr:blipFill>
      <xdr:spPr>
        <a:xfrm>
          <a:off x="49552527" y="41328975"/>
          <a:ext cx="7277252" cy="3270897"/>
        </a:xfrm>
        <a:prstGeom prst="rect">
          <a:avLst/>
        </a:prstGeom>
      </xdr:spPr>
    </xdr:pic>
    <xdr:clientData/>
  </xdr:twoCellAnchor>
  <xdr:twoCellAnchor editAs="oneCell">
    <xdr:from>
      <xdr:col>79</xdr:col>
      <xdr:colOff>68036</xdr:colOff>
      <xdr:row>249</xdr:row>
      <xdr:rowOff>265451</xdr:rowOff>
    </xdr:from>
    <xdr:to>
      <xdr:col>80</xdr:col>
      <xdr:colOff>2850</xdr:colOff>
      <xdr:row>249</xdr:row>
      <xdr:rowOff>3498627</xdr:rowOff>
    </xdr:to>
    <xdr:pic>
      <xdr:nvPicPr>
        <xdr:cNvPr id="8" name="Picture 7">
          <a:extLst>
            <a:ext uri="{FF2B5EF4-FFF2-40B4-BE49-F238E27FC236}">
              <a16:creationId xmlns:a16="http://schemas.microsoft.com/office/drawing/2014/main" id="{0F666BFB-39EB-43E9-A4FB-6D18AFE3375D}"/>
            </a:ext>
          </a:extLst>
        </xdr:cNvPr>
        <xdr:cNvPicPr>
          <a:picLocks noChangeAspect="1"/>
        </xdr:cNvPicPr>
      </xdr:nvPicPr>
      <xdr:blipFill rotWithShape="1">
        <a:blip xmlns:r="http://schemas.openxmlformats.org/officeDocument/2006/relationships" r:embed="rId5"/>
        <a:srcRect l="1853" t="5371"/>
        <a:stretch/>
      </xdr:blipFill>
      <xdr:spPr>
        <a:xfrm>
          <a:off x="49475572" y="45114594"/>
          <a:ext cx="7326214" cy="32268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152400</xdr:rowOff>
    </xdr:from>
    <xdr:to>
      <xdr:col>4</xdr:col>
      <xdr:colOff>215900</xdr:colOff>
      <xdr:row>2</xdr:row>
      <xdr:rowOff>126951</xdr:rowOff>
    </xdr:to>
    <xdr:pic>
      <xdr:nvPicPr>
        <xdr:cNvPr id="2" name="Picture 1" descr="ti logo">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 y="152400"/>
          <a:ext cx="2373630" cy="2914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558800</xdr:colOff>
      <xdr:row>0</xdr:row>
      <xdr:rowOff>82550</xdr:rowOff>
    </xdr:from>
    <xdr:ext cx="3752850" cy="342786"/>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4111625" y="82550"/>
          <a:ext cx="3752850"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600" b="1">
              <a:latin typeface="+mn-lt"/>
            </a:rPr>
            <a:t>How to use this tool...</a:t>
          </a:r>
        </a:p>
      </xdr:txBody>
    </xdr:sp>
    <xdr:clientData/>
  </xdr:oneCellAnchor>
  <xdr:oneCellAnchor>
    <xdr:from>
      <xdr:col>0</xdr:col>
      <xdr:colOff>47625</xdr:colOff>
      <xdr:row>5</xdr:row>
      <xdr:rowOff>76200</xdr:rowOff>
    </xdr:from>
    <xdr:ext cx="184731" cy="264560"/>
    <xdr:sp macro="" textlink="">
      <xdr:nvSpPr>
        <xdr:cNvPr id="4" name="TextBox 3">
          <a:hlinkClick xmlns:r="http://schemas.openxmlformats.org/officeDocument/2006/relationships" r:id="rId3"/>
          <a:extLst>
            <a:ext uri="{FF2B5EF4-FFF2-40B4-BE49-F238E27FC236}">
              <a16:creationId xmlns:a16="http://schemas.microsoft.com/office/drawing/2014/main" id="{00000000-0008-0000-0400-000004000000}"/>
            </a:ext>
          </a:extLst>
        </xdr:cNvPr>
        <xdr:cNvSpPr txBox="1"/>
      </xdr:nvSpPr>
      <xdr:spPr>
        <a:xfrm>
          <a:off x="47625"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133350</xdr:colOff>
      <xdr:row>5</xdr:row>
      <xdr:rowOff>161925</xdr:rowOff>
    </xdr:from>
    <xdr:to>
      <xdr:col>17</xdr:col>
      <xdr:colOff>1076324</xdr:colOff>
      <xdr:row>43</xdr:row>
      <xdr:rowOff>171451</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133350" y="984885"/>
          <a:ext cx="11306174" cy="70656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TEXAS INSTRUMENTS TEXT FILE LICENSE</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Copyright (c) 2021 Texas Instruments Incorporated</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All rights reserved not granted herein.</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Limited License.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Texas Instruments Incorporated grants a world-wide, royalty-free, non-exclusive license under copyrights and patents it now or hereafter owns or controls to make, have made, use, import, offer to sell and sell ("Utilize") this software subject to the terms herein.  With respect to the foregoing patent license, such license is granted  solely to the extent that any such patent is necessary to Utilize the software alone.  The patent license shall not apply to any combinations which include this software, other than combinations with devices manufactured by or for TI (“TI Devices”).  No hardware patent is licensed hereunder.</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Redistributions must preserve existing copyright notices and reproduce this license (including the above copyright notice and the disclaimer and (if applicable) source code license limitations below) in the documentation and/or other materials provided with the distribution</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Redistribution and use in binary form, without modification, are permitted provided that the following conditions are met:</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No reverse engineering, decompilation, or disassembly of this software is permitted with respect to any software provided in binary form.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any redistribution and use are licensed by TI for use only with TI Devices.</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Nothing shall obligate TI to provide you with source code for the software licensed and provided to you in object code.</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If software source code is provided to you, modification and redistribution of the source code are permitted provided that the following conditions are met:</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any redistribution and use of the source code, including any resulting derivative works, are licensed by TI for use only with TI Devices.</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any redistribution and use of any object code compiled from the source code and any resulting derivative works, are licensed by TI for use only with TI Devices.</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Neither the name of Texas Instruments Incorporated nor the names of its suppliers may be used to endorse or promote products derived from this software without specific prior written permission.</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DISCLAIMER.</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THIS SOFTWARE IS PROVIDED BY TI AND TI’S LICENSORS "AS IS" AND ANY EXPRESS OR IMPLIED WARRANTIES, INCLUDING, BUT NOT LIMITED TO, THE IMPLIED WARRANTIES OF MERCHANTABILITY AND FITNESS FOR A PARTICULAR PURPOSE ARE DISCLAIMED. IN NO EVENT SHALL TI AND TI’S LICENSORS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0227282/Desktop/Excel%20Calcs/AMC%20Voltage%20Sensing%20CalculatorV2/AMC%20Voltage%20Sensing%20Calculator/DeltaSigmaModulatorCalculator/DeltaSigmaModulatorFilterCalculato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0221409/Desktop/ADS1261-60%20Design%20Calculato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0227282/AppData/Local/Microsoft/Windows/INetCache/Content.Outlook/F78ED5SB/ADS1261-60%20Design%20Calculat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or"/>
      <sheetName val="Help"/>
      <sheetName val="License"/>
    </sheetNames>
    <sheetDataSet>
      <sheetData sheetId="0">
        <row r="8">
          <cell r="D8">
            <v>20000</v>
          </cell>
        </row>
        <row r="9">
          <cell r="D9">
            <v>256</v>
          </cell>
        </row>
        <row r="11">
          <cell r="D11">
            <v>32</v>
          </cell>
        </row>
        <row r="81">
          <cell r="R81">
            <v>1</v>
          </cell>
        </row>
        <row r="82">
          <cell r="R82">
            <v>256</v>
          </cell>
          <cell r="U82">
            <v>32</v>
          </cell>
        </row>
        <row r="83">
          <cell r="R83">
            <v>1</v>
          </cell>
        </row>
        <row r="91">
          <cell r="R91">
            <v>256</v>
          </cell>
          <cell r="U91">
            <v>32</v>
          </cell>
        </row>
        <row r="92">
          <cell r="R92" t="b">
            <v>1</v>
          </cell>
        </row>
        <row r="93">
          <cell r="R93">
            <v>65536</v>
          </cell>
          <cell r="U93">
            <v>1024</v>
          </cell>
        </row>
        <row r="94">
          <cell r="R94">
            <v>16777216</v>
          </cell>
          <cell r="U94">
            <v>32768</v>
          </cell>
        </row>
        <row r="101">
          <cell r="Q101">
            <v>20000000</v>
          </cell>
          <cell r="T101">
            <v>78125</v>
          </cell>
          <cell r="BK101">
            <v>625000</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
      <sheetName val="Common-Mode Range"/>
      <sheetName val="Code Conversions"/>
      <sheetName val="Digital Filter"/>
      <sheetName val="STATUS"/>
      <sheetName val="CRC"/>
      <sheetName val="About"/>
      <sheetName val="Help"/>
    </sheetNames>
    <sheetDataSet>
      <sheetData sheetId="0"/>
      <sheetData sheetId="1"/>
      <sheetData sheetId="2"/>
      <sheetData sheetId="3">
        <row r="84">
          <cell r="T84" t="b">
            <v>0</v>
          </cell>
        </row>
      </sheetData>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
      <sheetName val="Common-Mode Range"/>
      <sheetName val="Code Conversions"/>
      <sheetName val="Digital Filter"/>
      <sheetName val="STATUS"/>
      <sheetName val="CRC"/>
      <sheetName val="About"/>
      <sheetName val="Help"/>
    </sheetNames>
    <sheetDataSet>
      <sheetData sheetId="0" refreshError="1"/>
      <sheetData sheetId="1" refreshError="1"/>
      <sheetData sheetId="2" refreshError="1"/>
      <sheetData sheetId="3">
        <row r="84">
          <cell r="T84" t="b">
            <v>0</v>
          </cell>
        </row>
      </sheetData>
      <sheetData sheetId="4" refreshError="1"/>
      <sheetData sheetId="5" refreshError="1"/>
      <sheetData sheetId="6" refreshError="1"/>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P6:AY110" totalsRowShown="0" headerRowDxfId="57" dataDxfId="56" tableBorderDxfId="55">
  <autoFilter ref="AP6:AY110" xr:uid="{00000000-0009-0000-0100-000003000000}"/>
  <sortState ref="AP7:AP126">
    <sortCondition ref="AP1:AP121"/>
  </sortState>
  <tableColumns count="10">
    <tableColumn id="1" xr3:uid="{00000000-0010-0000-0000-000001000000}" name="R" dataDxfId="54"/>
    <tableColumn id="2" xr3:uid="{00000000-0010-0000-0000-000002000000}" name="R2" dataDxfId="53">
      <calculatedColumnFormula>Table3[[#This Row],[R]]*10</calculatedColumnFormula>
    </tableColumn>
    <tableColumn id="3" xr3:uid="{00000000-0010-0000-0000-000003000000}" name="R3" dataDxfId="52">
      <calculatedColumnFormula>Table3[[#This Row],[R2]]*10</calculatedColumnFormula>
    </tableColumn>
    <tableColumn id="4" xr3:uid="{00000000-0010-0000-0000-000004000000}" name="R4" dataDxfId="51">
      <calculatedColumnFormula>Table3[[#This Row],[R3]]*10</calculatedColumnFormula>
    </tableColumn>
    <tableColumn id="5" xr3:uid="{00000000-0010-0000-0000-000005000000}" name="R5" dataDxfId="50">
      <calculatedColumnFormula>Table3[[#This Row],[R]]/10</calculatedColumnFormula>
    </tableColumn>
    <tableColumn id="6" xr3:uid="{00000000-0010-0000-0000-000006000000}" name="R6" dataDxfId="49">
      <calculatedColumnFormula>Table3[[#This Row],[R5]]/10</calculatedColumnFormula>
    </tableColumn>
    <tableColumn id="7" xr3:uid="{00000000-0010-0000-0000-000007000000}" name="R7" dataDxfId="48">
      <calculatedColumnFormula>Table3[[#This Row],[R6]]/10</calculatedColumnFormula>
    </tableColumn>
    <tableColumn id="8" xr3:uid="{00000000-0010-0000-0000-000008000000}" name="R8" dataDxfId="47">
      <calculatedColumnFormula>Table3[[#This Row],[R7]]/10</calculatedColumnFormula>
    </tableColumn>
    <tableColumn id="9" xr3:uid="{00000000-0010-0000-0000-000009000000}" name="R9" dataDxfId="46">
      <calculatedColumnFormula>Table3[[#This Row],[R8]]/10</calculatedColumnFormula>
    </tableColumn>
    <tableColumn id="10" xr3:uid="{00000000-0010-0000-0000-00000A000000}" name="R10" dataDxfId="45">
      <calculatedColumnFormula>Table3[[#This Row],[R9]]/10</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Devices" displayName="Devices" ref="A6:AH79" totalsRowShown="0" headerRowDxfId="44" dataDxfId="42" headerRowBorderDxfId="43" tableBorderDxfId="41">
  <tableColumns count="34">
    <tableColumn id="1" xr3:uid="{00000000-0010-0000-0100-000001000000}" name="Part" dataDxfId="40"/>
    <tableColumn id="15" xr3:uid="{00000000-0010-0000-0100-00000F000000}" name="Input Type" dataDxfId="39"/>
    <tableColumn id="33" xr3:uid="{A19EFE3C-741A-46B2-8ECA-EC088F01287A}" name="Output Type" dataDxfId="38"/>
    <tableColumn id="2" xr3:uid="{00000000-0010-0000-0100-000002000000}" name="Gain Error Typ" dataDxfId="37"/>
    <tableColumn id="3" xr3:uid="{00000000-0010-0000-0100-000003000000}" name="Gain Error Max" dataDxfId="36"/>
    <tableColumn id="4" xr3:uid="{00000000-0010-0000-0100-000004000000}" name="Gain Drift Typ" dataDxfId="35"/>
    <tableColumn id="5" xr3:uid="{00000000-0010-0000-0100-000005000000}" name="Gain Drift Max" dataDxfId="34"/>
    <tableColumn id="6" xr3:uid="{00000000-0010-0000-0100-000006000000}" name="Offset Error Typ" dataDxfId="33"/>
    <tableColumn id="7" xr3:uid="{00000000-0010-0000-0100-000007000000}" name="Offset Error Max" dataDxfId="32"/>
    <tableColumn id="8" xr3:uid="{00000000-0010-0000-0100-000008000000}" name="Offset Drift Typ" dataDxfId="31"/>
    <tableColumn id="9" xr3:uid="{00000000-0010-0000-0100-000009000000}" name="Offset Drift Max" dataDxfId="30"/>
    <tableColumn id="10" xr3:uid="{00000000-0010-0000-0100-00000A000000}" name="INL Typ" dataDxfId="29"/>
    <tableColumn id="11" xr3:uid="{00000000-0010-0000-0100-00000B000000}" name="INL Max" dataDxfId="28"/>
    <tableColumn id="12" xr3:uid="{00000000-0010-0000-0100-00000C000000}" name="INL Drift Typ" dataDxfId="27"/>
    <tableColumn id="13" xr3:uid="{00000000-0010-0000-0100-00000D000000}" name="INL Drift Max" dataDxfId="26"/>
    <tableColumn id="14" xr3:uid="{00000000-0010-0000-0100-00000E000000}" name="±Input Voltage Range" dataDxfId="25"/>
    <tableColumn id="34" xr3:uid="{848B6CD0-B63F-4FAE-8F53-D61506F4C1C7}" name="±Output Voltage Range" dataDxfId="24"/>
    <tableColumn id="29" xr3:uid="{00000000-0010-0000-0100-00001D000000}" name="Temp Min" dataDxfId="23"/>
    <tableColumn id="30" xr3:uid="{00000000-0010-0000-0100-00001E000000}" name="Temp Max" dataDxfId="22"/>
    <tableColumn id="18" xr3:uid="{00000000-0010-0000-0100-000012000000}" name="Input Resistor (R4)" dataDxfId="21"/>
    <tableColumn id="16" xr3:uid="{00000000-0010-0000-0100-000010000000}" name="Single-Ended Input Resistance" dataDxfId="20"/>
    <tableColumn id="31" xr3:uid="{00000000-0010-0000-0100-00001F000000}" name="Differential Input Resistance" dataDxfId="19"/>
    <tableColumn id="32" xr3:uid="{00000000-0010-0000-0100-000020000000}" name="Gain" dataDxfId="18"/>
    <tableColumn id="17" xr3:uid="{00000000-0010-0000-0100-000011000000}" name="Bias Current" dataDxfId="17"/>
    <tableColumn id="19" xr3:uid="{00000000-0010-0000-0100-000013000000}" name="Row Num" dataDxfId="16">
      <calculatedColumnFormula>ROW()-6</calculatedColumnFormula>
    </tableColumn>
    <tableColumn id="20" xr3:uid="{00000000-0010-0000-0100-000014000000}" name="Row Sel D" dataDxfId="15">
      <calculatedColumnFormula>IF(OR($AL$75=Devices[[#This Row],[Input Type]], 0=Devices[[#This Row],[Input Type]]),Devices[[#This Row],[Row Num]], " ")</calculatedColumnFormula>
    </tableColumn>
    <tableColumn id="21" xr3:uid="{00000000-0010-0000-0100-000015000000}" name="Row Sel SE" dataDxfId="14">
      <calculatedColumnFormula>IF(OR($AL$76=Devices[[#This Row],[Input Type]], 0=Devices[[#This Row],[Input Type]]),Devices[[#This Row],[Row Num]], " ")</calculatedColumnFormula>
    </tableColumn>
    <tableColumn id="22" xr3:uid="{00000000-0010-0000-0100-000016000000}" name="Row Sel N" dataDxfId="13">
      <calculatedColumnFormula>IF(0=Devices[[#This Row],[Input Type]], Devices[[#This Row],[Row Num]], " ")</calculatedColumnFormula>
    </tableColumn>
    <tableColumn id="23" xr3:uid="{00000000-0010-0000-0100-000017000000}" name="Sel D" dataDxfId="12">
      <calculatedColumnFormula>IFERROR(SMALL(Devices[Row Sel D], Devices[[#This Row],[Row Num]]), " ")</calculatedColumnFormula>
    </tableColumn>
    <tableColumn id="24" xr3:uid="{00000000-0010-0000-0100-000018000000}" name="Sel SE" dataDxfId="11">
      <calculatedColumnFormula>IFERROR(SMALL(Devices[Row Sel SE], Devices[[#This Row],[Row Num]]), " ")</calculatedColumnFormula>
    </tableColumn>
    <tableColumn id="25" xr3:uid="{00000000-0010-0000-0100-000019000000}" name="Sel N" dataDxfId="10">
      <calculatedColumnFormula>IFERROR(SMALL(Devices[Row Sel N], Devices[[#This Row],[Row Num]]), " ")</calculatedColumnFormula>
    </tableColumn>
    <tableColumn id="26" xr3:uid="{00000000-0010-0000-0100-00001A000000}" name="Device_List_D" dataDxfId="9">
      <calculatedColumnFormula>IFERROR(INDEX(Devices[Part], Devices[[#This Row],[Sel D]], 1), "")</calculatedColumnFormula>
    </tableColumn>
    <tableColumn id="27" xr3:uid="{00000000-0010-0000-0100-00001B000000}" name="Device_List_SE" dataDxfId="8">
      <calculatedColumnFormula>IFERROR(INDEX(Devices[Part], Devices[[#This Row],[Sel SE]], 1), "")</calculatedColumnFormula>
    </tableColumn>
    <tableColumn id="28" xr3:uid="{00000000-0010-0000-0100-00001C000000}" name="Device_List_N" dataDxfId="7">
      <calculatedColumnFormula>IFERROR(INDEX(Devices[Part], Devices[[#This Row],[Sel N]], 1), "")</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Config" displayName="Config" ref="CA247:CB251" totalsRowShown="0" headerRowDxfId="6" dataDxfId="5">
  <tableColumns count="2">
    <tableColumn id="1" xr3:uid="{00000000-0010-0000-0200-000001000000}" name="Configuration" dataDxfId="4"/>
    <tableColumn id="2" xr3:uid="{00000000-0010-0000-0200-000002000000}" name="Image" dataDxfId="3"/>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Inputs" displayName="Inputs" ref="AL73:AL76" totalsRowShown="0" headerRowDxfId="2" dataDxfId="1">
  <tableColumns count="1">
    <tableColumn id="1" xr3:uid="{00000000-0010-0000-0300-000001000000}" name="Input Typ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ti.com/lit/gpn/AMC1311-Q1" TargetMode="External"/><Relationship Id="rId13" Type="http://schemas.openxmlformats.org/officeDocument/2006/relationships/hyperlink" Target="http://www.ti.com/lit/gpn/AMC3302" TargetMode="External"/><Relationship Id="rId18" Type="http://schemas.openxmlformats.org/officeDocument/2006/relationships/hyperlink" Target="http://www.ti.com/lit/gpn/AMC1350" TargetMode="External"/><Relationship Id="rId26" Type="http://schemas.openxmlformats.org/officeDocument/2006/relationships/hyperlink" Target="http://www.ti.com/lit/gpn/AMC0311R-Q1" TargetMode="External"/><Relationship Id="rId3" Type="http://schemas.openxmlformats.org/officeDocument/2006/relationships/hyperlink" Target="http://www.ti.com/lit/gpn/AMC1300" TargetMode="External"/><Relationship Id="rId21" Type="http://schemas.openxmlformats.org/officeDocument/2006/relationships/hyperlink" Target="http://www.ti.com/lit/gpn/AMC1211-q1" TargetMode="External"/><Relationship Id="rId7" Type="http://schemas.openxmlformats.org/officeDocument/2006/relationships/hyperlink" Target="http://www.ti.com/lit/gpn/AMC1311" TargetMode="External"/><Relationship Id="rId12" Type="http://schemas.openxmlformats.org/officeDocument/2006/relationships/hyperlink" Target="http://www.ti.com/lit/gpn/AMC3330-Q1" TargetMode="External"/><Relationship Id="rId17" Type="http://schemas.openxmlformats.org/officeDocument/2006/relationships/hyperlink" Target="http://www.ti.com/lit/gpn/AMC1202" TargetMode="External"/><Relationship Id="rId25" Type="http://schemas.openxmlformats.org/officeDocument/2006/relationships/hyperlink" Target="http://www.ti.com/lit/gpn/AMC0311R-Q1" TargetMode="External"/><Relationship Id="rId2" Type="http://schemas.openxmlformats.org/officeDocument/2006/relationships/hyperlink" Target="http://www.ti.com/lit/gpn/AMC1300B-Q1" TargetMode="External"/><Relationship Id="rId16" Type="http://schemas.openxmlformats.org/officeDocument/2006/relationships/hyperlink" Target="http://www.ti.com/lit/gpn/AMC3302-Q1" TargetMode="External"/><Relationship Id="rId20" Type="http://schemas.openxmlformats.org/officeDocument/2006/relationships/hyperlink" Target="http://www.ti.com/lit/gpn/ISO224" TargetMode="External"/><Relationship Id="rId29" Type="http://schemas.openxmlformats.org/officeDocument/2006/relationships/printerSettings" Target="../printerSettings/printerSettings2.bin"/><Relationship Id="rId1" Type="http://schemas.openxmlformats.org/officeDocument/2006/relationships/hyperlink" Target="http://e2e.ti.com/support/data_converters/precision_data_converters/" TargetMode="External"/><Relationship Id="rId6" Type="http://schemas.openxmlformats.org/officeDocument/2006/relationships/hyperlink" Target="http://www.ti.com/lit/gpn/AMC1302-Q1" TargetMode="External"/><Relationship Id="rId11" Type="http://schemas.openxmlformats.org/officeDocument/2006/relationships/hyperlink" Target="http://www.ti.com/lit/gpn/AMC3330" TargetMode="External"/><Relationship Id="rId24" Type="http://schemas.openxmlformats.org/officeDocument/2006/relationships/hyperlink" Target="http://www.ti.com/lit/gpn/AMC0311D-Q1" TargetMode="External"/><Relationship Id="rId5" Type="http://schemas.openxmlformats.org/officeDocument/2006/relationships/hyperlink" Target="http://www.ti.com/lit/gpn/AMC1302" TargetMode="External"/><Relationship Id="rId15" Type="http://schemas.openxmlformats.org/officeDocument/2006/relationships/hyperlink" Target="http://www.ti.com/lit/gpn/AMC1411" TargetMode="External"/><Relationship Id="rId23" Type="http://schemas.openxmlformats.org/officeDocument/2006/relationships/hyperlink" Target="http://www.ti.com/lit/gpn/AMC0311D" TargetMode="External"/><Relationship Id="rId28" Type="http://schemas.openxmlformats.org/officeDocument/2006/relationships/hyperlink" Target="http://www.ti.com/lit/gpn/AMC0311S-Q1" TargetMode="External"/><Relationship Id="rId10" Type="http://schemas.openxmlformats.org/officeDocument/2006/relationships/hyperlink" Target="http://www.ti.com/lit/gpn/AMC3301-Q1" TargetMode="External"/><Relationship Id="rId19" Type="http://schemas.openxmlformats.org/officeDocument/2006/relationships/hyperlink" Target="http://www.ti.com/lit/gpn/AMC1351" TargetMode="External"/><Relationship Id="rId4" Type="http://schemas.openxmlformats.org/officeDocument/2006/relationships/hyperlink" Target="http://www.ti.com/lit/gpn/AMC1301-Q1" TargetMode="External"/><Relationship Id="rId9" Type="http://schemas.openxmlformats.org/officeDocument/2006/relationships/hyperlink" Target="http://www.ti.com/lit/gpn/AMC3301" TargetMode="External"/><Relationship Id="rId14" Type="http://schemas.openxmlformats.org/officeDocument/2006/relationships/hyperlink" Target="http://www.ti.com/lit/gpn/AMC1400" TargetMode="External"/><Relationship Id="rId22" Type="http://schemas.openxmlformats.org/officeDocument/2006/relationships/hyperlink" Target="https://www.ti.com/lit/sbaa350" TargetMode="External"/><Relationship Id="rId27" Type="http://schemas.openxmlformats.org/officeDocument/2006/relationships/hyperlink" Target="http://www.ti.com/lit/gpn/AMC0311S" TargetMode="External"/><Relationship Id="rId30"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table" Target="../tables/table4.xm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e2e.ti.com/support/data_converters/precision_data_converte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E89"/>
  <sheetViews>
    <sheetView showGridLines="0" showRowColHeaders="0" tabSelected="1" zoomScaleNormal="100" workbookViewId="0">
      <selection activeCell="B13" sqref="B13:D13"/>
    </sheetView>
  </sheetViews>
  <sheetFormatPr defaultColWidth="8.7109375" defaultRowHeight="15"/>
  <cols>
    <col min="1" max="2" width="8.7109375" style="187"/>
    <col min="3" max="5" width="10.7109375" style="187" customWidth="1"/>
    <col min="6" max="16384" width="8.7109375" style="187"/>
  </cols>
  <sheetData>
    <row r="1" spans="1:31" ht="15" customHeight="1">
      <c r="A1" s="533"/>
      <c r="B1" s="533"/>
      <c r="C1" s="533"/>
      <c r="D1" s="533"/>
      <c r="E1" s="533"/>
      <c r="F1" s="533"/>
      <c r="G1" s="533"/>
      <c r="H1" s="533"/>
      <c r="I1" s="533"/>
      <c r="J1" s="533"/>
      <c r="K1" s="533"/>
      <c r="L1" s="533"/>
      <c r="M1" s="533"/>
      <c r="N1" s="533"/>
      <c r="O1" s="533"/>
      <c r="P1" s="533"/>
      <c r="Q1" s="533"/>
      <c r="R1" s="533"/>
      <c r="S1" s="533"/>
      <c r="T1" s="533"/>
      <c r="U1" s="533"/>
    </row>
    <row r="2" spans="1:31" ht="15" customHeight="1">
      <c r="A2" s="533"/>
      <c r="B2" s="533"/>
      <c r="C2" s="533"/>
      <c r="D2" s="533"/>
      <c r="E2" s="533"/>
      <c r="F2" s="533"/>
      <c r="G2" s="533"/>
      <c r="H2" s="533"/>
      <c r="I2" s="533"/>
      <c r="J2" s="533"/>
      <c r="K2" s="533"/>
      <c r="L2" s="533"/>
      <c r="M2" s="533"/>
      <c r="N2" s="533"/>
      <c r="O2" s="533"/>
      <c r="P2" s="533"/>
      <c r="Q2" s="533"/>
      <c r="R2" s="533"/>
      <c r="S2" s="533"/>
      <c r="T2" s="533"/>
      <c r="U2" s="533"/>
    </row>
    <row r="3" spans="1:31" ht="15" customHeight="1">
      <c r="A3" s="533"/>
      <c r="B3" s="533"/>
      <c r="C3" s="533"/>
      <c r="D3" s="533"/>
      <c r="E3" s="533"/>
      <c r="F3" s="533"/>
      <c r="G3" s="533"/>
      <c r="H3" s="533"/>
      <c r="I3" s="533"/>
      <c r="J3" s="533"/>
      <c r="K3" s="533"/>
      <c r="L3" s="533"/>
      <c r="M3" s="533"/>
      <c r="N3" s="533"/>
      <c r="O3" s="533"/>
      <c r="P3" s="533"/>
      <c r="Q3" s="533"/>
      <c r="R3" s="533"/>
      <c r="S3" s="533"/>
      <c r="T3" s="533"/>
      <c r="U3" s="533"/>
    </row>
    <row r="4" spans="1:31" ht="15" customHeight="1">
      <c r="A4" s="534"/>
      <c r="B4" s="534"/>
      <c r="C4" s="534"/>
      <c r="D4" s="534"/>
      <c r="E4" s="534"/>
      <c r="F4" s="534"/>
      <c r="G4" s="534"/>
      <c r="H4" s="534"/>
      <c r="I4" s="534"/>
      <c r="J4" s="534"/>
      <c r="K4" s="534"/>
      <c r="L4" s="534"/>
      <c r="M4" s="534"/>
      <c r="N4" s="534"/>
      <c r="O4" s="534"/>
      <c r="P4" s="534"/>
      <c r="Q4" s="534"/>
      <c r="R4" s="534"/>
      <c r="S4" s="534"/>
      <c r="T4" s="534"/>
      <c r="U4" s="534"/>
      <c r="V4" s="534"/>
      <c r="W4" s="534"/>
      <c r="X4" s="534"/>
      <c r="Y4" s="534"/>
      <c r="Z4" s="534"/>
      <c r="AA4" s="534"/>
      <c r="AB4" s="534"/>
      <c r="AC4" s="534"/>
      <c r="AD4" s="534"/>
      <c r="AE4" s="534"/>
    </row>
    <row r="5" spans="1:31" ht="15" customHeight="1">
      <c r="A5" s="189"/>
      <c r="B5" s="189"/>
      <c r="C5" s="189"/>
      <c r="D5" s="189"/>
      <c r="E5" s="189"/>
      <c r="F5" s="189"/>
      <c r="G5" s="189"/>
      <c r="H5" s="189"/>
      <c r="I5" s="189"/>
      <c r="J5" s="189"/>
      <c r="K5" s="189"/>
      <c r="L5" s="189"/>
      <c r="M5" s="189"/>
      <c r="N5" s="189"/>
      <c r="O5" s="189"/>
      <c r="P5" s="189"/>
      <c r="Q5" s="189"/>
      <c r="R5" s="189"/>
      <c r="S5" s="189"/>
      <c r="T5" s="189"/>
      <c r="U5" s="189"/>
      <c r="V5" s="189"/>
    </row>
    <row r="6" spans="1:31" ht="15" customHeight="1">
      <c r="A6" s="189"/>
      <c r="B6" s="189"/>
      <c r="C6" s="189"/>
      <c r="D6" s="189"/>
      <c r="E6" s="189"/>
      <c r="F6" s="189"/>
      <c r="G6" s="189"/>
      <c r="H6" s="189"/>
      <c r="I6" s="189"/>
      <c r="J6" s="189"/>
      <c r="K6" s="189"/>
      <c r="L6" s="189"/>
      <c r="M6" s="189"/>
      <c r="N6" s="189"/>
      <c r="O6" s="189"/>
      <c r="P6" s="189"/>
      <c r="Q6" s="189"/>
      <c r="R6" s="189"/>
      <c r="S6" s="189"/>
      <c r="T6" s="189"/>
      <c r="U6" s="189"/>
      <c r="V6" s="189"/>
    </row>
    <row r="7" spans="1:31" ht="15" customHeight="1" thickBot="1">
      <c r="A7" s="189"/>
      <c r="B7" s="529" t="s">
        <v>3</v>
      </c>
      <c r="C7" s="529"/>
      <c r="D7" s="529"/>
      <c r="E7" s="189"/>
      <c r="F7" s="529" t="s">
        <v>4</v>
      </c>
      <c r="G7" s="529"/>
      <c r="H7" s="529"/>
      <c r="I7" s="529"/>
      <c r="J7" s="529"/>
      <c r="K7" s="529"/>
      <c r="L7" s="529"/>
      <c r="M7" s="529"/>
      <c r="N7" s="529"/>
      <c r="O7" s="529"/>
      <c r="P7" s="529"/>
      <c r="Q7" s="529"/>
      <c r="S7" s="189"/>
      <c r="T7" s="189"/>
      <c r="U7" s="189"/>
      <c r="V7" s="189"/>
    </row>
    <row r="8" spans="1:31" ht="15" customHeight="1">
      <c r="A8" s="189"/>
      <c r="B8" s="189"/>
      <c r="C8" s="189"/>
      <c r="D8" s="189"/>
      <c r="E8" s="189"/>
      <c r="F8" s="297"/>
      <c r="G8" s="189"/>
      <c r="H8" s="189"/>
      <c r="I8" s="189"/>
      <c r="J8" s="189"/>
      <c r="K8" s="189"/>
      <c r="L8" s="189"/>
      <c r="M8" s="189"/>
      <c r="N8" s="189"/>
      <c r="O8" s="189"/>
      <c r="P8" s="189"/>
      <c r="Q8" s="189"/>
      <c r="S8" s="189"/>
      <c r="T8" s="189"/>
      <c r="U8" s="189"/>
      <c r="V8" s="189"/>
    </row>
    <row r="9" spans="1:31" ht="15" customHeight="1">
      <c r="A9" s="189"/>
      <c r="B9" s="531" t="s">
        <v>6</v>
      </c>
      <c r="C9" s="531"/>
      <c r="D9" s="531"/>
      <c r="E9" s="298"/>
      <c r="F9" s="530" t="s">
        <v>7</v>
      </c>
      <c r="G9" s="530"/>
      <c r="H9" s="530"/>
      <c r="I9" s="530"/>
      <c r="J9" s="530"/>
      <c r="K9" s="530"/>
      <c r="L9" s="530"/>
      <c r="M9" s="530"/>
      <c r="N9" s="530"/>
      <c r="O9" s="530"/>
      <c r="P9" s="530"/>
      <c r="Q9" s="530"/>
      <c r="S9" s="189"/>
      <c r="T9" s="189"/>
      <c r="U9" s="189"/>
      <c r="V9" s="189"/>
    </row>
    <row r="10" spans="1:31" ht="15" customHeight="1">
      <c r="A10" s="189"/>
      <c r="B10" s="299"/>
      <c r="C10" s="299"/>
      <c r="D10" s="299"/>
      <c r="E10" s="298"/>
      <c r="F10" s="300"/>
      <c r="G10" s="300"/>
      <c r="H10" s="300"/>
      <c r="I10" s="300"/>
      <c r="J10" s="300"/>
      <c r="K10" s="300"/>
      <c r="L10" s="300"/>
      <c r="M10" s="300"/>
      <c r="N10" s="300"/>
      <c r="O10" s="300"/>
      <c r="P10" s="300"/>
      <c r="Q10" s="300"/>
      <c r="S10" s="189"/>
      <c r="T10" s="189"/>
      <c r="U10" s="189"/>
      <c r="V10" s="189"/>
    </row>
    <row r="11" spans="1:31" ht="15" customHeight="1">
      <c r="A11" s="189"/>
      <c r="B11" s="299" t="s">
        <v>480</v>
      </c>
      <c r="C11" s="299"/>
      <c r="D11" s="299"/>
      <c r="E11" s="298"/>
      <c r="F11" s="300" t="s">
        <v>483</v>
      </c>
      <c r="G11" s="300"/>
      <c r="H11" s="300"/>
      <c r="I11" s="300"/>
      <c r="J11" s="300"/>
      <c r="K11" s="300"/>
      <c r="L11" s="300"/>
      <c r="M11" s="300"/>
      <c r="N11" s="300"/>
      <c r="O11" s="300"/>
      <c r="P11" s="300"/>
      <c r="Q11" s="300"/>
      <c r="S11" s="189"/>
      <c r="T11" s="189"/>
      <c r="U11" s="189"/>
      <c r="V11" s="189"/>
    </row>
    <row r="12" spans="1:31" ht="15" customHeight="1">
      <c r="A12" s="189"/>
      <c r="B12" s="243"/>
      <c r="C12" s="243"/>
      <c r="D12" s="243"/>
      <c r="E12" s="298"/>
      <c r="F12" s="298"/>
      <c r="G12" s="298"/>
      <c r="H12" s="298"/>
      <c r="I12" s="298"/>
      <c r="J12" s="298"/>
      <c r="K12" s="298"/>
      <c r="L12" s="298"/>
      <c r="M12" s="298"/>
      <c r="N12" s="298"/>
      <c r="O12" s="298"/>
      <c r="P12" s="298"/>
      <c r="Q12" s="298"/>
      <c r="S12" s="189"/>
      <c r="T12" s="189"/>
      <c r="U12" s="189"/>
      <c r="V12" s="189"/>
    </row>
    <row r="13" spans="1:31" ht="15" customHeight="1">
      <c r="A13" s="189"/>
      <c r="B13" s="532" t="s">
        <v>208</v>
      </c>
      <c r="C13" s="532"/>
      <c r="D13" s="532"/>
      <c r="E13" s="298"/>
      <c r="F13" s="530" t="s">
        <v>211</v>
      </c>
      <c r="G13" s="530"/>
      <c r="H13" s="530"/>
      <c r="I13" s="530"/>
      <c r="J13" s="530"/>
      <c r="K13" s="530"/>
      <c r="L13" s="530"/>
      <c r="M13" s="530"/>
      <c r="N13" s="530"/>
      <c r="O13" s="530"/>
      <c r="P13" s="530"/>
      <c r="Q13" s="530"/>
      <c r="S13" s="189"/>
      <c r="T13" s="189"/>
      <c r="U13" s="189"/>
      <c r="V13" s="189"/>
    </row>
    <row r="14" spans="1:31" ht="15" customHeight="1">
      <c r="A14" s="189"/>
      <c r="B14" s="243"/>
      <c r="C14" s="243"/>
      <c r="D14" s="243"/>
      <c r="E14" s="298"/>
      <c r="F14" s="298"/>
      <c r="G14" s="302"/>
      <c r="H14" s="298"/>
      <c r="I14" s="298"/>
      <c r="J14" s="298"/>
      <c r="K14" s="298"/>
      <c r="L14" s="298"/>
      <c r="M14" s="298"/>
      <c r="N14" s="298"/>
      <c r="O14" s="298"/>
      <c r="P14" s="298"/>
      <c r="Q14" s="298"/>
      <c r="S14" s="189"/>
      <c r="T14" s="189"/>
      <c r="U14" s="189"/>
      <c r="V14" s="189"/>
    </row>
    <row r="15" spans="1:31" ht="15" customHeight="1">
      <c r="A15" s="189"/>
      <c r="B15" s="532" t="s">
        <v>47</v>
      </c>
      <c r="C15" s="531"/>
      <c r="D15" s="531"/>
      <c r="E15" s="298"/>
      <c r="F15" s="530" t="s">
        <v>212</v>
      </c>
      <c r="G15" s="530"/>
      <c r="H15" s="530"/>
      <c r="I15" s="530"/>
      <c r="J15" s="530"/>
      <c r="K15" s="530"/>
      <c r="L15" s="530"/>
      <c r="M15" s="530"/>
      <c r="N15" s="530"/>
      <c r="O15" s="530"/>
      <c r="P15" s="530"/>
      <c r="Q15" s="530"/>
      <c r="S15" s="189"/>
      <c r="T15" s="189"/>
      <c r="U15" s="189"/>
      <c r="V15" s="189"/>
    </row>
    <row r="16" spans="1:31" ht="15" customHeight="1">
      <c r="A16" s="189"/>
      <c r="B16" s="243"/>
      <c r="C16" s="243"/>
      <c r="D16" s="243"/>
      <c r="E16" s="298"/>
      <c r="F16" s="298"/>
      <c r="G16" s="298"/>
      <c r="H16" s="298"/>
      <c r="I16" s="298"/>
      <c r="J16" s="298"/>
      <c r="K16" s="298"/>
      <c r="L16" s="298"/>
      <c r="M16" s="298"/>
      <c r="N16" s="298"/>
      <c r="O16" s="298"/>
      <c r="P16" s="298"/>
      <c r="Q16" s="298"/>
      <c r="S16" s="189"/>
      <c r="T16" s="189"/>
      <c r="U16" s="189"/>
      <c r="V16" s="189"/>
    </row>
    <row r="17" spans="1:22" ht="15" customHeight="1">
      <c r="A17" s="189"/>
      <c r="B17" s="532" t="s">
        <v>210</v>
      </c>
      <c r="C17" s="531"/>
      <c r="D17" s="531"/>
      <c r="E17" s="298"/>
      <c r="F17" s="530" t="s">
        <v>5</v>
      </c>
      <c r="G17" s="530"/>
      <c r="H17" s="530"/>
      <c r="I17" s="530"/>
      <c r="J17" s="530"/>
      <c r="K17" s="530"/>
      <c r="L17" s="530"/>
      <c r="M17" s="530"/>
      <c r="N17" s="530"/>
      <c r="O17" s="530"/>
      <c r="P17" s="530"/>
      <c r="Q17" s="530"/>
      <c r="S17" s="189"/>
      <c r="T17" s="189"/>
      <c r="U17" s="189"/>
      <c r="V17" s="189"/>
    </row>
    <row r="18" spans="1:22" ht="15" customHeight="1">
      <c r="A18" s="189"/>
      <c r="B18" s="243"/>
      <c r="C18" s="243"/>
      <c r="D18" s="243"/>
      <c r="E18" s="189"/>
      <c r="F18" s="297"/>
      <c r="G18" s="189"/>
      <c r="H18" s="189"/>
      <c r="I18" s="189"/>
      <c r="J18" s="189"/>
      <c r="K18" s="189"/>
      <c r="L18" s="189"/>
      <c r="M18" s="189"/>
      <c r="N18" s="189"/>
      <c r="O18" s="189"/>
      <c r="P18" s="189"/>
      <c r="Q18" s="189"/>
      <c r="S18" s="189"/>
      <c r="T18" s="189"/>
      <c r="U18" s="189"/>
      <c r="V18" s="189"/>
    </row>
    <row r="19" spans="1:22" ht="15" customHeight="1">
      <c r="A19" s="189"/>
      <c r="B19" s="189"/>
      <c r="H19" s="189"/>
      <c r="I19" s="238"/>
      <c r="J19" s="238"/>
      <c r="K19" s="238"/>
      <c r="L19" s="238"/>
      <c r="M19" s="238"/>
      <c r="N19" s="238"/>
      <c r="O19" s="238"/>
      <c r="P19" s="238"/>
      <c r="Q19" s="238"/>
      <c r="R19" s="238"/>
      <c r="S19" s="238"/>
      <c r="T19" s="238"/>
      <c r="U19" s="238"/>
      <c r="V19" s="189"/>
    </row>
    <row r="20" spans="1:22" ht="15" customHeight="1" thickBot="1">
      <c r="A20" s="189"/>
      <c r="B20" s="529" t="s">
        <v>12</v>
      </c>
      <c r="C20" s="529"/>
      <c r="D20" s="529"/>
      <c r="E20" s="301"/>
      <c r="F20" s="301"/>
      <c r="G20" s="301"/>
      <c r="H20" s="301"/>
      <c r="I20" s="301"/>
      <c r="J20" s="301"/>
      <c r="K20" s="301"/>
      <c r="L20" s="301"/>
      <c r="M20" s="301"/>
      <c r="N20" s="301"/>
      <c r="O20" s="301"/>
      <c r="P20" s="301"/>
      <c r="Q20" s="301"/>
      <c r="R20" s="189"/>
      <c r="S20" s="189"/>
      <c r="T20" s="189"/>
      <c r="U20" s="189"/>
      <c r="V20" s="189"/>
    </row>
    <row r="21" spans="1:22" ht="15" customHeight="1">
      <c r="A21" s="189"/>
      <c r="B21" s="530" t="s">
        <v>213</v>
      </c>
      <c r="C21" s="530"/>
      <c r="D21" s="530"/>
      <c r="E21" s="530"/>
      <c r="F21" s="530"/>
      <c r="G21" s="530"/>
      <c r="H21" s="530"/>
      <c r="I21" s="530"/>
      <c r="J21" s="530"/>
      <c r="K21" s="530"/>
      <c r="L21" s="530"/>
      <c r="M21" s="530"/>
      <c r="N21" s="530"/>
      <c r="O21" s="530"/>
      <c r="P21" s="530"/>
      <c r="Q21" s="189"/>
      <c r="R21" s="189"/>
      <c r="S21" s="189"/>
      <c r="T21" s="189"/>
      <c r="U21" s="189"/>
      <c r="V21" s="189"/>
    </row>
    <row r="22" spans="1:22" ht="15" customHeight="1">
      <c r="A22" s="189"/>
      <c r="B22" s="243"/>
      <c r="C22" s="243"/>
      <c r="D22" s="243"/>
      <c r="E22" s="243"/>
      <c r="F22" s="243"/>
      <c r="G22" s="243"/>
      <c r="H22" s="243"/>
      <c r="I22" s="243"/>
      <c r="J22" s="243"/>
      <c r="K22" s="243"/>
      <c r="L22" s="243"/>
      <c r="M22" s="243"/>
      <c r="N22" s="243"/>
      <c r="O22" s="243"/>
      <c r="P22" s="243"/>
      <c r="Q22" s="189"/>
      <c r="R22" s="189"/>
      <c r="S22" s="189"/>
      <c r="T22" s="189"/>
      <c r="U22" s="189"/>
      <c r="V22" s="189"/>
    </row>
    <row r="23" spans="1:22" ht="15" customHeight="1">
      <c r="A23" s="189"/>
      <c r="B23" s="189"/>
      <c r="C23" s="189"/>
      <c r="D23" s="189"/>
      <c r="E23" s="189"/>
      <c r="F23" s="189"/>
      <c r="G23" s="189"/>
      <c r="H23" s="189"/>
      <c r="J23" s="189"/>
      <c r="K23" s="189"/>
      <c r="L23" s="189"/>
      <c r="M23" s="189"/>
      <c r="N23" s="189"/>
      <c r="O23" s="189"/>
      <c r="P23" s="189"/>
      <c r="Q23" s="189"/>
      <c r="R23" s="189"/>
      <c r="S23" s="189"/>
      <c r="T23" s="189"/>
      <c r="U23" s="189"/>
      <c r="V23" s="189"/>
    </row>
    <row r="24" spans="1:22" ht="15" customHeight="1">
      <c r="A24" s="189"/>
      <c r="R24" s="189"/>
      <c r="S24" s="189"/>
      <c r="T24" s="189"/>
      <c r="U24" s="189"/>
      <c r="V24" s="189"/>
    </row>
    <row r="25" spans="1:22" ht="15" customHeight="1">
      <c r="A25" s="189"/>
      <c r="B25" s="189"/>
      <c r="J25" s="189"/>
      <c r="K25" s="189"/>
      <c r="L25" s="189"/>
      <c r="M25" s="189"/>
      <c r="N25" s="189"/>
      <c r="O25" s="189"/>
      <c r="P25" s="189"/>
      <c r="Q25" s="189"/>
      <c r="R25" s="189"/>
      <c r="S25" s="189"/>
      <c r="T25" s="189"/>
      <c r="U25" s="189"/>
      <c r="V25" s="189"/>
    </row>
    <row r="26" spans="1:22" ht="15" customHeight="1">
      <c r="A26" s="189"/>
      <c r="B26" s="189"/>
      <c r="J26" s="189"/>
      <c r="K26" s="189"/>
      <c r="L26" s="189"/>
      <c r="M26" s="189"/>
      <c r="N26" s="189"/>
      <c r="O26" s="189"/>
      <c r="P26" s="189"/>
      <c r="Q26" s="189"/>
      <c r="R26" s="189"/>
      <c r="S26" s="189"/>
      <c r="T26" s="189"/>
      <c r="U26" s="189"/>
      <c r="V26" s="189"/>
    </row>
    <row r="27" spans="1:22" ht="15" customHeight="1">
      <c r="A27" s="189"/>
      <c r="B27" s="189"/>
      <c r="J27" s="189"/>
      <c r="K27" s="189"/>
      <c r="L27" s="189"/>
      <c r="M27" s="189"/>
      <c r="N27" s="189"/>
      <c r="O27" s="189"/>
      <c r="P27" s="189"/>
      <c r="Q27" s="189"/>
      <c r="R27" s="189"/>
      <c r="S27" s="189"/>
      <c r="T27" s="189"/>
      <c r="U27" s="189"/>
      <c r="V27" s="189"/>
    </row>
    <row r="28" spans="1:22" ht="15" customHeight="1">
      <c r="A28" s="189"/>
      <c r="B28" s="189"/>
      <c r="C28" s="298"/>
      <c r="D28" s="189"/>
      <c r="E28" s="189"/>
      <c r="F28" s="189"/>
      <c r="G28" s="189"/>
      <c r="H28" s="189"/>
      <c r="I28" s="189"/>
      <c r="J28" s="189"/>
      <c r="K28" s="189"/>
      <c r="L28" s="189"/>
      <c r="M28" s="189"/>
      <c r="N28" s="189"/>
      <c r="O28" s="189"/>
      <c r="P28" s="189"/>
      <c r="Q28" s="189"/>
      <c r="R28" s="189"/>
      <c r="S28" s="189"/>
      <c r="T28" s="189"/>
      <c r="U28" s="189"/>
      <c r="V28" s="189"/>
    </row>
    <row r="29" spans="1:22" ht="15" customHeight="1">
      <c r="A29" s="189"/>
      <c r="B29" s="189"/>
      <c r="I29" s="189"/>
      <c r="J29" s="189"/>
      <c r="K29" s="189"/>
      <c r="L29" s="189"/>
      <c r="M29" s="189"/>
      <c r="N29" s="189"/>
      <c r="O29" s="189"/>
      <c r="P29" s="189"/>
      <c r="Q29" s="189"/>
      <c r="R29" s="189"/>
      <c r="S29" s="189"/>
      <c r="T29" s="189"/>
      <c r="U29" s="189"/>
      <c r="V29" s="189"/>
    </row>
    <row r="30" spans="1:22" ht="15" customHeight="1">
      <c r="A30" s="189"/>
      <c r="B30" s="189"/>
      <c r="I30" s="189"/>
      <c r="J30" s="189"/>
      <c r="K30" s="189"/>
      <c r="L30" s="189"/>
      <c r="M30" s="189"/>
      <c r="N30" s="189"/>
      <c r="O30" s="189"/>
      <c r="P30" s="189"/>
      <c r="Q30" s="189"/>
      <c r="R30" s="189"/>
      <c r="S30" s="189"/>
      <c r="T30" s="189"/>
      <c r="U30" s="189"/>
      <c r="V30" s="189"/>
    </row>
    <row r="31" spans="1:22" ht="15" customHeight="1">
      <c r="A31" s="189"/>
      <c r="B31" s="189"/>
      <c r="I31" s="189"/>
      <c r="J31" s="189"/>
      <c r="K31" s="189"/>
      <c r="L31" s="189"/>
      <c r="M31" s="189"/>
      <c r="N31" s="189"/>
      <c r="O31" s="189"/>
      <c r="P31" s="189"/>
      <c r="Q31" s="189"/>
      <c r="R31" s="189"/>
      <c r="S31" s="189"/>
      <c r="T31" s="189"/>
      <c r="U31" s="189"/>
      <c r="V31" s="189"/>
    </row>
    <row r="32" spans="1:22" ht="15" customHeight="1">
      <c r="A32" s="189"/>
      <c r="B32" s="189"/>
      <c r="I32" s="189"/>
      <c r="J32" s="189"/>
      <c r="K32" s="189"/>
      <c r="L32" s="189"/>
      <c r="M32" s="189"/>
      <c r="N32" s="189"/>
      <c r="O32" s="189"/>
      <c r="P32" s="189"/>
      <c r="Q32" s="189"/>
      <c r="R32" s="189"/>
      <c r="S32" s="189"/>
      <c r="T32" s="189"/>
      <c r="U32" s="189"/>
      <c r="V32" s="189"/>
    </row>
    <row r="33" spans="1:22" ht="15" customHeight="1">
      <c r="A33" s="189"/>
      <c r="B33" s="189"/>
      <c r="I33" s="189"/>
      <c r="J33" s="189"/>
      <c r="K33" s="189"/>
      <c r="L33" s="189"/>
      <c r="M33" s="189"/>
      <c r="N33" s="189"/>
      <c r="O33" s="189"/>
      <c r="P33" s="189"/>
      <c r="Q33" s="189"/>
      <c r="R33" s="189"/>
      <c r="S33" s="189"/>
      <c r="T33" s="189"/>
      <c r="U33" s="189"/>
      <c r="V33" s="189"/>
    </row>
    <row r="34" spans="1:22" ht="15" customHeight="1">
      <c r="A34" s="189"/>
      <c r="B34" s="189"/>
      <c r="I34" s="189"/>
      <c r="J34" s="189"/>
      <c r="K34" s="189"/>
      <c r="L34" s="189"/>
      <c r="M34" s="189"/>
      <c r="N34" s="189"/>
      <c r="O34" s="189"/>
      <c r="P34" s="189"/>
      <c r="Q34" s="189"/>
      <c r="R34" s="189"/>
      <c r="S34" s="189"/>
      <c r="T34" s="189"/>
      <c r="U34" s="189"/>
      <c r="V34" s="189"/>
    </row>
    <row r="35" spans="1:22" ht="15" customHeight="1">
      <c r="A35" s="189"/>
      <c r="B35" s="189"/>
      <c r="I35" s="189"/>
      <c r="J35" s="189"/>
      <c r="K35" s="189"/>
      <c r="L35" s="189"/>
      <c r="M35" s="189"/>
      <c r="N35" s="189"/>
      <c r="O35" s="189"/>
      <c r="P35" s="189"/>
      <c r="Q35" s="189"/>
      <c r="R35" s="189"/>
      <c r="S35" s="189"/>
      <c r="T35" s="189"/>
      <c r="U35" s="189"/>
      <c r="V35" s="189"/>
    </row>
    <row r="36" spans="1:22" ht="15" customHeight="1">
      <c r="A36" s="189"/>
      <c r="B36" s="189"/>
      <c r="I36" s="189"/>
      <c r="J36" s="189"/>
      <c r="K36" s="189"/>
      <c r="L36" s="189"/>
      <c r="M36" s="189"/>
      <c r="N36" s="189"/>
      <c r="O36" s="189"/>
      <c r="P36" s="189"/>
      <c r="Q36" s="189"/>
      <c r="R36" s="189"/>
      <c r="S36" s="189"/>
      <c r="T36" s="189"/>
      <c r="U36" s="189"/>
      <c r="V36" s="189"/>
    </row>
    <row r="37" spans="1:22" ht="15" customHeight="1">
      <c r="A37" s="189"/>
      <c r="B37" s="189"/>
      <c r="C37" s="189"/>
      <c r="D37" s="189"/>
      <c r="E37" s="189"/>
      <c r="F37" s="189"/>
      <c r="G37" s="189"/>
      <c r="H37" s="189"/>
      <c r="I37" s="189"/>
      <c r="J37" s="189"/>
      <c r="K37" s="189"/>
      <c r="L37" s="189"/>
      <c r="M37" s="189"/>
      <c r="N37" s="189"/>
      <c r="O37" s="189"/>
      <c r="P37" s="189"/>
      <c r="Q37" s="189"/>
      <c r="R37" s="189"/>
      <c r="S37" s="189"/>
      <c r="T37" s="189"/>
      <c r="U37" s="189"/>
      <c r="V37" s="189"/>
    </row>
    <row r="38" spans="1:22" ht="15" customHeight="1">
      <c r="A38" s="189"/>
      <c r="B38" s="189"/>
      <c r="C38" s="189"/>
      <c r="D38" s="189"/>
      <c r="E38" s="189"/>
      <c r="F38" s="189"/>
      <c r="G38" s="189"/>
      <c r="H38" s="189"/>
      <c r="I38" s="189"/>
      <c r="J38" s="189"/>
      <c r="K38" s="189"/>
      <c r="L38" s="189"/>
      <c r="M38" s="189"/>
      <c r="N38" s="189"/>
      <c r="O38" s="189"/>
      <c r="P38" s="189"/>
      <c r="Q38" s="189"/>
      <c r="R38" s="189"/>
      <c r="S38" s="189"/>
      <c r="T38" s="189"/>
      <c r="U38" s="189"/>
      <c r="V38" s="189"/>
    </row>
    <row r="39" spans="1:22" ht="15" customHeight="1">
      <c r="A39" s="189"/>
      <c r="B39" s="189"/>
      <c r="C39" s="189"/>
      <c r="D39" s="189"/>
      <c r="E39" s="189"/>
      <c r="F39" s="189"/>
      <c r="G39" s="189"/>
      <c r="H39" s="189"/>
      <c r="I39" s="189"/>
      <c r="J39" s="189"/>
      <c r="K39" s="189"/>
      <c r="L39" s="189"/>
      <c r="M39" s="189"/>
      <c r="N39" s="189"/>
      <c r="O39" s="189"/>
      <c r="P39" s="189"/>
      <c r="Q39" s="189"/>
      <c r="R39" s="189"/>
      <c r="S39" s="189"/>
      <c r="T39" s="189"/>
      <c r="U39" s="189"/>
      <c r="V39" s="189"/>
    </row>
    <row r="40" spans="1:22" ht="15" customHeight="1">
      <c r="A40" s="189"/>
      <c r="B40" s="189"/>
      <c r="C40" s="189"/>
      <c r="D40" s="189"/>
      <c r="E40" s="189"/>
      <c r="F40" s="189"/>
      <c r="G40" s="189"/>
      <c r="H40" s="189"/>
      <c r="I40" s="189"/>
      <c r="J40" s="189"/>
      <c r="K40" s="189"/>
      <c r="L40" s="189"/>
      <c r="M40" s="189"/>
      <c r="N40" s="189"/>
      <c r="O40" s="189"/>
      <c r="P40" s="189"/>
      <c r="Q40" s="189"/>
      <c r="R40" s="189"/>
      <c r="S40" s="189"/>
      <c r="T40" s="189"/>
      <c r="U40" s="189"/>
      <c r="V40" s="189"/>
    </row>
    <row r="41" spans="1:22" ht="15" customHeight="1">
      <c r="A41" s="189"/>
      <c r="B41" s="189"/>
      <c r="C41" s="189"/>
      <c r="D41" s="189"/>
      <c r="E41" s="189"/>
      <c r="F41" s="189"/>
      <c r="G41" s="189"/>
      <c r="H41" s="189"/>
      <c r="I41" s="189"/>
      <c r="J41" s="189"/>
      <c r="K41" s="189"/>
      <c r="L41" s="189"/>
      <c r="M41" s="189"/>
      <c r="N41" s="189"/>
      <c r="O41" s="189"/>
      <c r="P41" s="189"/>
      <c r="Q41" s="189"/>
      <c r="R41" s="189"/>
      <c r="S41" s="189"/>
      <c r="T41" s="189"/>
      <c r="U41" s="189"/>
      <c r="V41" s="189"/>
    </row>
    <row r="42" spans="1:22" ht="15" customHeight="1">
      <c r="A42" s="189"/>
      <c r="B42" s="189"/>
      <c r="C42" s="189"/>
      <c r="D42" s="189"/>
      <c r="E42" s="189"/>
      <c r="F42" s="189"/>
      <c r="G42" s="189"/>
      <c r="H42" s="189"/>
      <c r="I42" s="189"/>
      <c r="J42" s="189"/>
      <c r="K42" s="189"/>
      <c r="L42" s="189"/>
      <c r="M42" s="189"/>
      <c r="N42" s="189"/>
      <c r="O42" s="189"/>
      <c r="P42" s="189"/>
      <c r="Q42" s="189"/>
      <c r="R42" s="189"/>
      <c r="S42" s="189"/>
      <c r="T42" s="189"/>
      <c r="U42" s="189"/>
      <c r="V42" s="189"/>
    </row>
    <row r="43" spans="1:22" ht="15" customHeight="1">
      <c r="A43" s="189"/>
      <c r="B43" s="189"/>
      <c r="C43" s="189"/>
      <c r="D43" s="189"/>
      <c r="E43" s="189"/>
      <c r="F43" s="189"/>
      <c r="G43" s="189"/>
      <c r="H43" s="189"/>
      <c r="I43" s="189"/>
      <c r="J43" s="189"/>
      <c r="K43" s="189"/>
      <c r="L43" s="189"/>
      <c r="M43" s="189"/>
      <c r="N43" s="189"/>
      <c r="O43" s="189"/>
      <c r="P43" s="189"/>
      <c r="Q43" s="189"/>
      <c r="R43" s="189"/>
      <c r="S43" s="189"/>
      <c r="T43" s="189"/>
      <c r="U43" s="189"/>
      <c r="V43" s="189"/>
    </row>
    <row r="44" spans="1:22" ht="15" customHeight="1">
      <c r="A44" s="189"/>
      <c r="B44" s="189"/>
      <c r="C44" s="189"/>
      <c r="D44" s="189"/>
      <c r="E44" s="189"/>
      <c r="F44" s="189"/>
      <c r="G44" s="189"/>
      <c r="H44" s="189"/>
      <c r="I44" s="189"/>
      <c r="J44" s="189"/>
      <c r="K44" s="189"/>
      <c r="L44" s="189"/>
      <c r="M44" s="189"/>
      <c r="N44" s="189"/>
      <c r="O44" s="189"/>
      <c r="P44" s="189"/>
      <c r="Q44" s="189"/>
      <c r="R44" s="189"/>
      <c r="S44" s="189"/>
      <c r="T44" s="189"/>
      <c r="U44" s="189"/>
      <c r="V44" s="189"/>
    </row>
    <row r="45" spans="1:22" ht="15" customHeight="1">
      <c r="A45" s="189"/>
      <c r="B45" s="189"/>
      <c r="C45" s="189"/>
      <c r="D45" s="189"/>
      <c r="E45" s="189"/>
      <c r="F45" s="189"/>
      <c r="G45" s="189"/>
      <c r="H45" s="189"/>
      <c r="I45" s="189"/>
      <c r="J45" s="189"/>
      <c r="K45" s="189"/>
      <c r="L45" s="189"/>
      <c r="M45" s="189"/>
      <c r="N45" s="189"/>
      <c r="O45" s="189"/>
      <c r="P45" s="189"/>
      <c r="Q45" s="189"/>
      <c r="R45" s="189"/>
      <c r="S45" s="189"/>
      <c r="T45" s="189"/>
      <c r="U45" s="189"/>
      <c r="V45" s="189"/>
    </row>
    <row r="46" spans="1:22" ht="15" customHeight="1">
      <c r="A46" s="189"/>
      <c r="B46" s="189"/>
      <c r="C46" s="189"/>
      <c r="D46" s="189"/>
      <c r="E46" s="189"/>
      <c r="F46" s="189"/>
      <c r="G46" s="189"/>
      <c r="H46" s="189"/>
      <c r="I46" s="189"/>
      <c r="J46" s="189"/>
      <c r="K46" s="189"/>
      <c r="L46" s="189"/>
      <c r="M46" s="189"/>
      <c r="N46" s="189"/>
      <c r="O46" s="189"/>
      <c r="P46" s="189"/>
      <c r="Q46" s="189"/>
      <c r="R46" s="189"/>
      <c r="S46" s="189"/>
      <c r="T46" s="189"/>
      <c r="U46" s="189"/>
      <c r="V46" s="189"/>
    </row>
    <row r="47" spans="1:22" ht="15" customHeight="1">
      <c r="A47" s="189"/>
      <c r="B47" s="189"/>
      <c r="C47" s="189"/>
      <c r="D47" s="189"/>
      <c r="E47" s="189"/>
      <c r="F47" s="189"/>
      <c r="G47" s="189"/>
      <c r="H47" s="189"/>
      <c r="I47" s="189"/>
      <c r="J47" s="189"/>
      <c r="K47" s="189"/>
      <c r="L47" s="189"/>
      <c r="M47" s="189"/>
      <c r="N47" s="189"/>
      <c r="O47" s="189"/>
      <c r="P47" s="189"/>
      <c r="Q47" s="189"/>
      <c r="R47" s="189"/>
      <c r="S47" s="189"/>
      <c r="T47" s="189"/>
      <c r="U47" s="189"/>
      <c r="V47" s="189"/>
    </row>
    <row r="48" spans="1:22" ht="15" customHeight="1">
      <c r="A48" s="189"/>
      <c r="B48" s="189"/>
      <c r="C48" s="189"/>
      <c r="D48" s="189"/>
      <c r="E48" s="189"/>
      <c r="F48" s="189"/>
      <c r="G48" s="189"/>
      <c r="H48" s="189"/>
      <c r="I48" s="189"/>
      <c r="J48" s="189"/>
      <c r="K48" s="189"/>
      <c r="L48" s="189"/>
      <c r="M48" s="189"/>
      <c r="N48" s="189"/>
      <c r="O48" s="189"/>
      <c r="P48" s="189"/>
      <c r="Q48" s="189"/>
      <c r="R48" s="189"/>
      <c r="S48" s="189"/>
      <c r="T48" s="189"/>
      <c r="U48" s="189"/>
      <c r="V48" s="189"/>
    </row>
    <row r="49" spans="1:22" ht="15" customHeight="1">
      <c r="A49" s="189"/>
      <c r="B49" s="189"/>
      <c r="C49" s="189"/>
      <c r="D49" s="189"/>
      <c r="E49" s="189"/>
      <c r="F49" s="189"/>
      <c r="G49" s="189"/>
      <c r="H49" s="189"/>
      <c r="I49" s="189"/>
      <c r="J49" s="189"/>
      <c r="K49" s="189"/>
      <c r="L49" s="189"/>
      <c r="M49" s="189"/>
      <c r="N49" s="189"/>
      <c r="O49" s="189"/>
      <c r="P49" s="189"/>
      <c r="Q49" s="189"/>
      <c r="R49" s="189"/>
      <c r="S49" s="189"/>
      <c r="T49" s="189"/>
      <c r="U49" s="189"/>
      <c r="V49" s="189"/>
    </row>
    <row r="50" spans="1:22" ht="15" customHeight="1">
      <c r="A50" s="189"/>
      <c r="B50" s="189"/>
      <c r="C50" s="189"/>
      <c r="D50" s="189"/>
      <c r="E50" s="189"/>
      <c r="F50" s="189"/>
      <c r="G50" s="189"/>
      <c r="H50" s="189"/>
      <c r="I50" s="189"/>
      <c r="J50" s="189"/>
      <c r="K50" s="189"/>
      <c r="L50" s="189"/>
      <c r="M50" s="189"/>
      <c r="N50" s="189"/>
      <c r="O50" s="189"/>
      <c r="P50" s="189"/>
      <c r="Q50" s="189"/>
      <c r="R50" s="189"/>
      <c r="S50" s="189"/>
      <c r="T50" s="189"/>
      <c r="U50" s="189"/>
      <c r="V50" s="189"/>
    </row>
    <row r="51" spans="1:22" ht="15" customHeight="1">
      <c r="A51" s="189"/>
      <c r="B51" s="189"/>
      <c r="C51" s="189"/>
      <c r="D51" s="189"/>
      <c r="E51" s="189"/>
      <c r="F51" s="189"/>
      <c r="G51" s="189"/>
      <c r="H51" s="189"/>
      <c r="I51" s="189"/>
      <c r="J51" s="189"/>
      <c r="K51" s="189"/>
      <c r="L51" s="189"/>
      <c r="M51" s="189"/>
      <c r="N51" s="189"/>
      <c r="O51" s="189"/>
      <c r="P51" s="189"/>
      <c r="Q51" s="189"/>
      <c r="R51" s="189"/>
      <c r="S51" s="189"/>
      <c r="T51" s="189"/>
      <c r="U51" s="189"/>
      <c r="V51" s="189"/>
    </row>
    <row r="52" spans="1:22" ht="15" customHeight="1">
      <c r="A52" s="189"/>
      <c r="B52" s="189"/>
      <c r="C52" s="189"/>
      <c r="D52" s="189"/>
      <c r="E52" s="189"/>
      <c r="F52" s="189"/>
      <c r="G52" s="189"/>
      <c r="H52" s="189"/>
      <c r="I52" s="189"/>
      <c r="J52" s="189"/>
      <c r="K52" s="189"/>
      <c r="L52" s="189"/>
      <c r="M52" s="189"/>
      <c r="N52" s="189"/>
      <c r="O52" s="189"/>
      <c r="P52" s="189"/>
      <c r="Q52" s="189"/>
      <c r="R52" s="189"/>
      <c r="S52" s="189"/>
      <c r="T52" s="189"/>
      <c r="U52" s="189"/>
      <c r="V52" s="189"/>
    </row>
    <row r="53" spans="1:22" ht="15" customHeight="1">
      <c r="A53" s="189"/>
      <c r="B53" s="189"/>
      <c r="C53" s="189"/>
      <c r="D53" s="189"/>
      <c r="E53" s="189"/>
      <c r="F53" s="189"/>
      <c r="G53" s="189"/>
      <c r="H53" s="189"/>
      <c r="I53" s="189"/>
      <c r="J53" s="189"/>
      <c r="K53" s="189"/>
      <c r="L53" s="189"/>
      <c r="M53" s="189"/>
      <c r="N53" s="189"/>
      <c r="O53" s="189"/>
      <c r="P53" s="189"/>
      <c r="Q53" s="189"/>
      <c r="R53" s="189"/>
      <c r="S53" s="189"/>
      <c r="T53" s="189"/>
      <c r="U53" s="189"/>
      <c r="V53" s="189"/>
    </row>
    <row r="54" spans="1:22" ht="15" customHeight="1">
      <c r="A54" s="189"/>
      <c r="B54" s="189"/>
      <c r="C54" s="189"/>
      <c r="D54" s="189"/>
      <c r="E54" s="189"/>
      <c r="F54" s="189"/>
      <c r="G54" s="189"/>
      <c r="H54" s="189"/>
      <c r="I54" s="189"/>
      <c r="J54" s="189"/>
      <c r="K54" s="189"/>
      <c r="L54" s="189"/>
      <c r="M54" s="189"/>
      <c r="N54" s="189"/>
      <c r="O54" s="189"/>
      <c r="P54" s="189"/>
      <c r="Q54" s="189"/>
      <c r="R54" s="189"/>
      <c r="S54" s="189"/>
      <c r="T54" s="189"/>
      <c r="U54" s="189"/>
      <c r="V54" s="189"/>
    </row>
    <row r="55" spans="1:22">
      <c r="A55" s="189"/>
      <c r="B55" s="189"/>
      <c r="C55" s="189"/>
      <c r="D55" s="189"/>
      <c r="E55" s="189"/>
      <c r="F55" s="189"/>
      <c r="G55" s="189"/>
      <c r="H55" s="189"/>
      <c r="I55" s="189"/>
      <c r="J55" s="189"/>
      <c r="K55" s="189"/>
      <c r="L55" s="189"/>
      <c r="M55" s="189"/>
      <c r="N55" s="189"/>
      <c r="O55" s="189"/>
      <c r="P55" s="189"/>
      <c r="Q55" s="189"/>
      <c r="R55" s="189"/>
      <c r="S55" s="189"/>
      <c r="T55" s="189"/>
      <c r="U55" s="189"/>
      <c r="V55" s="189"/>
    </row>
    <row r="56" spans="1:22">
      <c r="A56" s="189"/>
      <c r="B56" s="189"/>
      <c r="C56" s="189"/>
      <c r="D56" s="189"/>
      <c r="E56" s="189"/>
      <c r="F56" s="189"/>
      <c r="G56" s="189"/>
      <c r="H56" s="189"/>
      <c r="I56" s="189"/>
      <c r="J56" s="189"/>
      <c r="K56" s="189"/>
      <c r="L56" s="189"/>
      <c r="M56" s="189"/>
      <c r="N56" s="189"/>
      <c r="O56" s="189"/>
      <c r="P56" s="189"/>
      <c r="Q56" s="189"/>
      <c r="R56" s="189"/>
      <c r="S56" s="189"/>
      <c r="T56" s="189"/>
      <c r="U56" s="189"/>
      <c r="V56" s="189"/>
    </row>
    <row r="57" spans="1:22">
      <c r="A57" s="189"/>
      <c r="B57" s="189"/>
      <c r="C57" s="189"/>
      <c r="D57" s="189"/>
      <c r="E57" s="189"/>
      <c r="F57" s="189"/>
      <c r="G57" s="189"/>
      <c r="H57" s="189"/>
      <c r="I57" s="189"/>
      <c r="J57" s="189"/>
      <c r="K57" s="189"/>
      <c r="L57" s="189"/>
      <c r="M57" s="189"/>
      <c r="N57" s="189"/>
      <c r="O57" s="189"/>
      <c r="P57" s="189"/>
      <c r="Q57" s="189"/>
      <c r="R57" s="189"/>
      <c r="S57" s="189"/>
      <c r="T57" s="189"/>
      <c r="U57" s="189"/>
      <c r="V57" s="189"/>
    </row>
    <row r="58" spans="1:22">
      <c r="A58" s="189"/>
      <c r="B58" s="189"/>
      <c r="C58" s="189"/>
      <c r="D58" s="189"/>
      <c r="E58" s="189"/>
      <c r="F58" s="189"/>
      <c r="G58" s="189"/>
      <c r="H58" s="189"/>
      <c r="I58" s="189"/>
      <c r="J58" s="189"/>
      <c r="K58" s="189"/>
      <c r="L58" s="189"/>
      <c r="M58" s="189"/>
      <c r="N58" s="189"/>
      <c r="O58" s="189"/>
      <c r="P58" s="189"/>
      <c r="Q58" s="189"/>
      <c r="R58" s="189"/>
      <c r="S58" s="189"/>
      <c r="T58" s="189"/>
      <c r="U58" s="189"/>
      <c r="V58" s="189"/>
    </row>
    <row r="59" spans="1:22">
      <c r="A59" s="189"/>
      <c r="B59" s="189"/>
      <c r="C59" s="189"/>
      <c r="D59" s="189"/>
      <c r="E59" s="189"/>
      <c r="F59" s="189"/>
      <c r="G59" s="189"/>
      <c r="H59" s="189"/>
      <c r="I59" s="189"/>
      <c r="J59" s="189"/>
      <c r="K59" s="189"/>
      <c r="L59" s="189"/>
      <c r="M59" s="189"/>
      <c r="N59" s="189"/>
      <c r="O59" s="189"/>
      <c r="P59" s="189"/>
      <c r="Q59" s="189"/>
      <c r="R59" s="189"/>
      <c r="S59" s="189"/>
      <c r="T59" s="189"/>
      <c r="U59" s="189"/>
      <c r="V59" s="189"/>
    </row>
    <row r="60" spans="1:22">
      <c r="A60" s="189"/>
      <c r="B60" s="189"/>
      <c r="C60" s="189"/>
      <c r="D60" s="189"/>
      <c r="E60" s="189"/>
      <c r="F60" s="189"/>
      <c r="G60" s="189"/>
      <c r="H60" s="189"/>
      <c r="I60" s="189"/>
      <c r="J60" s="189"/>
      <c r="K60" s="189"/>
      <c r="L60" s="189"/>
      <c r="M60" s="189"/>
      <c r="N60" s="189"/>
      <c r="O60" s="189"/>
      <c r="P60" s="189"/>
      <c r="Q60" s="189"/>
      <c r="R60" s="189"/>
      <c r="S60" s="189"/>
      <c r="T60" s="189"/>
      <c r="U60" s="189"/>
      <c r="V60" s="189"/>
    </row>
    <row r="61" spans="1:22">
      <c r="A61" s="189"/>
      <c r="B61" s="189"/>
      <c r="C61" s="189"/>
      <c r="D61" s="189"/>
      <c r="E61" s="189"/>
      <c r="F61" s="189"/>
      <c r="G61" s="189"/>
      <c r="H61" s="189"/>
      <c r="I61" s="189"/>
      <c r="J61" s="189"/>
      <c r="K61" s="189"/>
      <c r="L61" s="189"/>
      <c r="M61" s="189"/>
      <c r="N61" s="189"/>
      <c r="O61" s="189"/>
      <c r="P61" s="189"/>
      <c r="Q61" s="189"/>
      <c r="R61" s="189"/>
      <c r="S61" s="189"/>
      <c r="T61" s="189"/>
      <c r="U61" s="189"/>
      <c r="V61" s="189"/>
    </row>
    <row r="62" spans="1:22">
      <c r="A62" s="189"/>
      <c r="B62" s="189"/>
      <c r="C62" s="189"/>
      <c r="D62" s="189"/>
      <c r="E62" s="189"/>
      <c r="F62" s="189"/>
      <c r="G62" s="189"/>
      <c r="H62" s="189"/>
      <c r="I62" s="189"/>
      <c r="J62" s="189"/>
      <c r="K62" s="189"/>
      <c r="L62" s="189"/>
      <c r="M62" s="189"/>
      <c r="N62" s="189"/>
      <c r="O62" s="189"/>
      <c r="P62" s="189"/>
      <c r="Q62" s="189"/>
      <c r="R62" s="189"/>
      <c r="S62" s="189"/>
      <c r="T62" s="189"/>
      <c r="U62" s="189"/>
      <c r="V62" s="189"/>
    </row>
    <row r="63" spans="1:22">
      <c r="A63" s="189"/>
      <c r="B63" s="189"/>
      <c r="C63" s="189"/>
      <c r="D63" s="189"/>
      <c r="E63" s="189"/>
      <c r="F63" s="189"/>
      <c r="G63" s="189"/>
      <c r="H63" s="189"/>
      <c r="I63" s="189"/>
      <c r="J63" s="189"/>
      <c r="K63" s="189"/>
      <c r="L63" s="189"/>
      <c r="M63" s="189"/>
      <c r="N63" s="189"/>
      <c r="O63" s="189"/>
      <c r="P63" s="189"/>
      <c r="Q63" s="189"/>
      <c r="R63" s="189"/>
      <c r="S63" s="189"/>
      <c r="T63" s="189"/>
      <c r="U63" s="189"/>
      <c r="V63" s="189"/>
    </row>
    <row r="64" spans="1:22">
      <c r="A64" s="189"/>
      <c r="B64" s="189"/>
      <c r="C64" s="189"/>
      <c r="D64" s="189"/>
      <c r="E64" s="189"/>
      <c r="F64" s="189"/>
      <c r="G64" s="189"/>
      <c r="H64" s="189"/>
      <c r="I64" s="189"/>
      <c r="J64" s="189"/>
      <c r="K64" s="189"/>
      <c r="L64" s="189"/>
      <c r="M64" s="189"/>
      <c r="N64" s="189"/>
      <c r="O64" s="189"/>
      <c r="P64" s="189"/>
      <c r="Q64" s="189"/>
      <c r="R64" s="189"/>
      <c r="S64" s="189"/>
      <c r="T64" s="189"/>
      <c r="U64" s="189"/>
      <c r="V64" s="189"/>
    </row>
    <row r="65" spans="1:22">
      <c r="A65" s="189"/>
      <c r="B65" s="189"/>
      <c r="C65" s="189"/>
      <c r="D65" s="189"/>
      <c r="E65" s="189"/>
      <c r="F65" s="189"/>
      <c r="G65" s="189"/>
      <c r="H65" s="189"/>
      <c r="I65" s="189"/>
      <c r="J65" s="189"/>
      <c r="K65" s="189"/>
      <c r="L65" s="189"/>
      <c r="M65" s="189"/>
      <c r="N65" s="189"/>
      <c r="O65" s="189"/>
      <c r="P65" s="189"/>
      <c r="Q65" s="189"/>
      <c r="R65" s="189"/>
      <c r="S65" s="189"/>
      <c r="T65" s="189"/>
      <c r="U65" s="189"/>
      <c r="V65" s="189"/>
    </row>
    <row r="66" spans="1:22">
      <c r="A66" s="189"/>
      <c r="B66" s="189"/>
      <c r="C66" s="189"/>
      <c r="D66" s="189"/>
      <c r="E66" s="189"/>
      <c r="F66" s="189"/>
      <c r="G66" s="189"/>
      <c r="H66" s="189"/>
      <c r="I66" s="189"/>
      <c r="J66" s="189"/>
      <c r="K66" s="189"/>
      <c r="L66" s="189"/>
      <c r="M66" s="189"/>
      <c r="N66" s="189"/>
      <c r="O66" s="189"/>
      <c r="P66" s="189"/>
      <c r="Q66" s="189"/>
      <c r="R66" s="189"/>
      <c r="S66" s="189"/>
      <c r="T66" s="189"/>
      <c r="U66" s="189"/>
      <c r="V66" s="189"/>
    </row>
    <row r="67" spans="1:22">
      <c r="A67" s="189"/>
      <c r="B67" s="189"/>
      <c r="C67" s="189"/>
      <c r="D67" s="189"/>
      <c r="E67" s="189"/>
      <c r="F67" s="189"/>
      <c r="G67" s="189"/>
      <c r="H67" s="189"/>
      <c r="I67" s="189"/>
      <c r="J67" s="189"/>
      <c r="K67" s="189"/>
      <c r="L67" s="189"/>
      <c r="M67" s="189"/>
      <c r="N67" s="189"/>
      <c r="O67" s="189"/>
      <c r="P67" s="189"/>
      <c r="Q67" s="189"/>
      <c r="R67" s="189"/>
      <c r="S67" s="189"/>
      <c r="T67" s="189"/>
      <c r="U67" s="189"/>
      <c r="V67" s="189"/>
    </row>
    <row r="68" spans="1:22">
      <c r="A68" s="189"/>
      <c r="B68" s="189"/>
      <c r="C68" s="189"/>
      <c r="D68" s="189"/>
      <c r="E68" s="189"/>
      <c r="F68" s="189"/>
      <c r="G68" s="189"/>
      <c r="H68" s="189"/>
      <c r="I68" s="189"/>
      <c r="J68" s="189"/>
      <c r="K68" s="189"/>
      <c r="L68" s="189"/>
      <c r="M68" s="189"/>
      <c r="N68" s="189"/>
      <c r="O68" s="189"/>
      <c r="P68" s="189"/>
      <c r="Q68" s="189"/>
      <c r="R68" s="189"/>
      <c r="S68" s="189"/>
      <c r="T68" s="189"/>
      <c r="U68" s="189"/>
      <c r="V68" s="189"/>
    </row>
    <row r="69" spans="1:22">
      <c r="A69" s="189"/>
      <c r="B69" s="189"/>
      <c r="C69" s="189"/>
      <c r="D69" s="189"/>
      <c r="E69" s="189"/>
      <c r="F69" s="189"/>
      <c r="G69" s="189"/>
      <c r="H69" s="189"/>
      <c r="I69" s="189"/>
      <c r="J69" s="189"/>
      <c r="K69" s="189"/>
      <c r="L69" s="189"/>
      <c r="M69" s="189"/>
      <c r="N69" s="189"/>
      <c r="O69" s="189"/>
      <c r="P69" s="189"/>
      <c r="Q69" s="189"/>
      <c r="R69" s="189"/>
      <c r="S69" s="189"/>
      <c r="T69" s="189"/>
      <c r="U69" s="189"/>
      <c r="V69" s="189"/>
    </row>
    <row r="70" spans="1:22">
      <c r="A70" s="189"/>
      <c r="B70" s="189"/>
      <c r="C70" s="189"/>
      <c r="D70" s="189"/>
      <c r="E70" s="189"/>
      <c r="F70" s="189"/>
      <c r="G70" s="189"/>
      <c r="H70" s="189"/>
      <c r="I70" s="189"/>
      <c r="J70" s="189"/>
      <c r="K70" s="189"/>
      <c r="L70" s="189"/>
      <c r="M70" s="189"/>
      <c r="N70" s="189"/>
      <c r="O70" s="189"/>
      <c r="P70" s="189"/>
      <c r="Q70" s="189"/>
      <c r="R70" s="189"/>
      <c r="S70" s="189"/>
      <c r="T70" s="189"/>
      <c r="U70" s="189"/>
      <c r="V70" s="189"/>
    </row>
    <row r="71" spans="1:22">
      <c r="A71" s="189"/>
      <c r="B71" s="189"/>
      <c r="C71" s="189"/>
      <c r="D71" s="189"/>
      <c r="E71" s="189"/>
      <c r="F71" s="189"/>
      <c r="G71" s="189"/>
      <c r="H71" s="189"/>
      <c r="I71" s="189"/>
      <c r="J71" s="189"/>
      <c r="K71" s="189"/>
      <c r="L71" s="189"/>
      <c r="M71" s="189"/>
      <c r="N71" s="189"/>
      <c r="O71" s="189"/>
      <c r="P71" s="189"/>
      <c r="Q71" s="189"/>
      <c r="R71" s="189"/>
      <c r="S71" s="189"/>
      <c r="T71" s="189"/>
      <c r="U71" s="189"/>
      <c r="V71" s="189"/>
    </row>
    <row r="72" spans="1:22">
      <c r="A72" s="189"/>
      <c r="B72" s="189"/>
      <c r="C72" s="189"/>
      <c r="D72" s="189"/>
      <c r="E72" s="189"/>
      <c r="F72" s="189"/>
      <c r="G72" s="189"/>
      <c r="H72" s="189"/>
      <c r="I72" s="189"/>
      <c r="J72" s="189"/>
      <c r="K72" s="189"/>
      <c r="L72" s="189"/>
      <c r="M72" s="189"/>
      <c r="N72" s="189"/>
      <c r="O72" s="189"/>
      <c r="P72" s="189"/>
      <c r="Q72" s="189"/>
      <c r="R72" s="189"/>
      <c r="S72" s="189"/>
      <c r="T72" s="189"/>
      <c r="U72" s="189"/>
      <c r="V72" s="189"/>
    </row>
    <row r="73" spans="1:22">
      <c r="A73" s="189"/>
      <c r="B73" s="189"/>
      <c r="C73" s="189"/>
      <c r="D73" s="189"/>
      <c r="E73" s="189"/>
      <c r="F73" s="189"/>
      <c r="G73" s="189"/>
      <c r="H73" s="189"/>
      <c r="I73" s="189"/>
      <c r="J73" s="189"/>
      <c r="K73" s="189"/>
      <c r="L73" s="189"/>
      <c r="M73" s="189"/>
      <c r="N73" s="189"/>
      <c r="O73" s="189"/>
      <c r="P73" s="189"/>
      <c r="Q73" s="189"/>
      <c r="R73" s="189"/>
      <c r="S73" s="189"/>
      <c r="T73" s="189"/>
      <c r="U73" s="189"/>
      <c r="V73" s="189"/>
    </row>
    <row r="74" spans="1:22">
      <c r="A74" s="189"/>
      <c r="B74" s="189"/>
      <c r="C74" s="189"/>
      <c r="D74" s="189"/>
      <c r="E74" s="189"/>
      <c r="F74" s="189"/>
      <c r="G74" s="189"/>
      <c r="H74" s="189"/>
      <c r="I74" s="189"/>
      <c r="J74" s="189"/>
      <c r="K74" s="189"/>
      <c r="L74" s="189"/>
      <c r="M74" s="189"/>
      <c r="N74" s="189"/>
      <c r="O74" s="189"/>
      <c r="P74" s="189"/>
      <c r="Q74" s="189"/>
      <c r="R74" s="189"/>
      <c r="S74" s="189"/>
      <c r="T74" s="189"/>
      <c r="U74" s="189"/>
      <c r="V74" s="189"/>
    </row>
    <row r="75" spans="1:22">
      <c r="A75" s="189"/>
      <c r="B75" s="189"/>
      <c r="C75" s="189"/>
      <c r="D75" s="189"/>
      <c r="E75" s="189"/>
      <c r="F75" s="189"/>
      <c r="G75" s="189"/>
      <c r="H75" s="189"/>
      <c r="I75" s="189"/>
      <c r="J75" s="189"/>
      <c r="K75" s="189"/>
      <c r="L75" s="189"/>
      <c r="M75" s="189"/>
      <c r="N75" s="189"/>
      <c r="O75" s="189"/>
      <c r="P75" s="189"/>
      <c r="Q75" s="189"/>
      <c r="R75" s="189"/>
      <c r="S75" s="189"/>
      <c r="T75" s="189"/>
      <c r="U75" s="189"/>
      <c r="V75" s="189"/>
    </row>
    <row r="76" spans="1:22">
      <c r="A76" s="189"/>
      <c r="B76" s="189"/>
      <c r="C76" s="189"/>
      <c r="D76" s="189"/>
      <c r="E76" s="189"/>
      <c r="F76" s="189"/>
      <c r="G76" s="189"/>
      <c r="H76" s="189"/>
      <c r="I76" s="189"/>
      <c r="J76" s="189"/>
      <c r="K76" s="189"/>
      <c r="L76" s="189"/>
      <c r="M76" s="189"/>
      <c r="N76" s="189"/>
      <c r="O76" s="189"/>
      <c r="P76" s="189"/>
      <c r="Q76" s="189"/>
      <c r="R76" s="189"/>
      <c r="S76" s="189"/>
      <c r="T76" s="189"/>
      <c r="U76" s="189"/>
      <c r="V76" s="189"/>
    </row>
    <row r="77" spans="1:22">
      <c r="A77" s="189"/>
      <c r="B77" s="189"/>
      <c r="C77" s="189"/>
      <c r="D77" s="189"/>
      <c r="E77" s="189"/>
      <c r="F77" s="189"/>
      <c r="G77" s="189"/>
      <c r="H77" s="189"/>
      <c r="I77" s="189"/>
      <c r="J77" s="189"/>
      <c r="K77" s="189"/>
      <c r="L77" s="189"/>
      <c r="M77" s="189"/>
      <c r="N77" s="189"/>
      <c r="O77" s="189"/>
      <c r="P77" s="189"/>
      <c r="Q77" s="189"/>
      <c r="R77" s="189"/>
      <c r="S77" s="189"/>
      <c r="T77" s="189"/>
      <c r="U77" s="189"/>
      <c r="V77" s="189"/>
    </row>
    <row r="78" spans="1:22">
      <c r="A78" s="189"/>
      <c r="B78" s="189"/>
      <c r="C78" s="189"/>
      <c r="D78" s="189"/>
      <c r="E78" s="189"/>
      <c r="F78" s="189"/>
      <c r="G78" s="189"/>
      <c r="H78" s="189"/>
      <c r="I78" s="189"/>
      <c r="J78" s="189"/>
      <c r="K78" s="189"/>
      <c r="L78" s="189"/>
      <c r="M78" s="189"/>
      <c r="N78" s="189"/>
      <c r="O78" s="189"/>
      <c r="P78" s="189"/>
      <c r="Q78" s="189"/>
      <c r="R78" s="189"/>
      <c r="S78" s="189"/>
      <c r="T78" s="189"/>
      <c r="U78" s="189"/>
      <c r="V78" s="189"/>
    </row>
    <row r="79" spans="1:22">
      <c r="A79" s="189"/>
      <c r="B79" s="189"/>
      <c r="C79" s="189"/>
      <c r="D79" s="189"/>
      <c r="E79" s="189"/>
      <c r="F79" s="189"/>
      <c r="G79" s="189"/>
      <c r="H79" s="189"/>
      <c r="I79" s="189"/>
      <c r="J79" s="189"/>
      <c r="K79" s="189"/>
      <c r="L79" s="189"/>
      <c r="M79" s="189"/>
      <c r="N79" s="189"/>
      <c r="O79" s="189"/>
      <c r="P79" s="189"/>
      <c r="Q79" s="189"/>
      <c r="R79" s="189"/>
      <c r="S79" s="189"/>
      <c r="T79" s="189"/>
      <c r="U79" s="189"/>
      <c r="V79" s="189"/>
    </row>
    <row r="80" spans="1:22">
      <c r="A80" s="189"/>
      <c r="B80" s="189"/>
      <c r="C80" s="189"/>
      <c r="D80" s="189"/>
      <c r="E80" s="189"/>
      <c r="F80" s="189"/>
      <c r="G80" s="189"/>
      <c r="H80" s="189"/>
      <c r="I80" s="189"/>
      <c r="J80" s="189"/>
      <c r="K80" s="189"/>
      <c r="L80" s="189"/>
      <c r="M80" s="189"/>
      <c r="N80" s="189"/>
      <c r="O80" s="189"/>
      <c r="P80" s="189"/>
      <c r="Q80" s="189"/>
      <c r="R80" s="189"/>
      <c r="S80" s="189"/>
      <c r="T80" s="189"/>
      <c r="U80" s="189"/>
      <c r="V80" s="189"/>
    </row>
    <row r="81" spans="1:22">
      <c r="A81" s="189"/>
      <c r="B81" s="189"/>
      <c r="C81" s="189"/>
      <c r="D81" s="189"/>
      <c r="E81" s="189"/>
      <c r="F81" s="189"/>
      <c r="G81" s="189"/>
      <c r="H81" s="189"/>
      <c r="I81" s="189"/>
      <c r="J81" s="189"/>
      <c r="K81" s="189"/>
      <c r="L81" s="189"/>
      <c r="M81" s="189"/>
      <c r="N81" s="189"/>
      <c r="O81" s="189"/>
      <c r="P81" s="189"/>
      <c r="Q81" s="189"/>
      <c r="R81" s="189"/>
      <c r="S81" s="189"/>
      <c r="T81" s="189"/>
      <c r="U81" s="189"/>
      <c r="V81" s="189"/>
    </row>
    <row r="82" spans="1:22">
      <c r="A82" s="189"/>
      <c r="B82" s="189"/>
      <c r="C82" s="189"/>
      <c r="D82" s="189"/>
      <c r="E82" s="189"/>
      <c r="F82" s="189"/>
      <c r="G82" s="189"/>
      <c r="H82" s="189"/>
      <c r="I82" s="189"/>
      <c r="J82" s="189"/>
      <c r="K82" s="189"/>
      <c r="L82" s="189"/>
      <c r="M82" s="189"/>
      <c r="N82" s="189"/>
      <c r="O82" s="189"/>
      <c r="P82" s="189"/>
      <c r="Q82" s="189"/>
      <c r="R82" s="189"/>
      <c r="S82" s="189"/>
      <c r="T82" s="189"/>
      <c r="U82" s="189"/>
      <c r="V82" s="189"/>
    </row>
    <row r="83" spans="1:22">
      <c r="A83" s="189"/>
      <c r="B83" s="189"/>
      <c r="C83" s="189"/>
      <c r="D83" s="189"/>
      <c r="E83" s="189"/>
      <c r="F83" s="189"/>
      <c r="G83" s="189"/>
      <c r="H83" s="189"/>
      <c r="I83" s="189"/>
      <c r="J83" s="189"/>
      <c r="K83" s="189"/>
      <c r="L83" s="189"/>
      <c r="M83" s="189"/>
      <c r="N83" s="189"/>
      <c r="O83" s="189"/>
      <c r="P83" s="189"/>
      <c r="Q83" s="189"/>
      <c r="R83" s="189"/>
      <c r="S83" s="189"/>
      <c r="T83" s="189"/>
      <c r="U83" s="189"/>
      <c r="V83" s="189"/>
    </row>
    <row r="84" spans="1:22">
      <c r="A84" s="189"/>
      <c r="B84" s="189"/>
      <c r="C84" s="189"/>
      <c r="D84" s="189"/>
      <c r="E84" s="189"/>
      <c r="F84" s="189"/>
      <c r="G84" s="189"/>
      <c r="H84" s="189"/>
      <c r="I84" s="189"/>
      <c r="J84" s="189"/>
      <c r="K84" s="189"/>
      <c r="L84" s="189"/>
      <c r="M84" s="189"/>
      <c r="N84" s="189"/>
      <c r="O84" s="189"/>
      <c r="P84" s="189"/>
      <c r="Q84" s="189"/>
      <c r="R84" s="189"/>
      <c r="S84" s="189"/>
      <c r="T84" s="189"/>
      <c r="U84" s="189"/>
      <c r="V84" s="189"/>
    </row>
    <row r="85" spans="1:22">
      <c r="A85" s="189"/>
      <c r="B85" s="189"/>
      <c r="C85" s="189"/>
      <c r="D85" s="189"/>
      <c r="E85" s="189"/>
      <c r="F85" s="189"/>
      <c r="G85" s="189"/>
      <c r="H85" s="189"/>
      <c r="I85" s="189"/>
      <c r="J85" s="189"/>
      <c r="K85" s="189"/>
      <c r="L85" s="189"/>
      <c r="M85" s="189"/>
      <c r="N85" s="189"/>
      <c r="O85" s="189"/>
      <c r="P85" s="189"/>
      <c r="Q85" s="189"/>
      <c r="R85" s="189"/>
      <c r="S85" s="189"/>
      <c r="T85" s="189"/>
      <c r="U85" s="189"/>
      <c r="V85" s="189"/>
    </row>
    <row r="86" spans="1:22">
      <c r="A86" s="189"/>
      <c r="B86" s="189"/>
      <c r="C86" s="189"/>
      <c r="D86" s="189"/>
      <c r="E86" s="189"/>
      <c r="F86" s="189"/>
      <c r="G86" s="189"/>
      <c r="H86" s="189"/>
      <c r="I86" s="189"/>
      <c r="J86" s="189"/>
      <c r="K86" s="189"/>
      <c r="L86" s="189"/>
      <c r="M86" s="189"/>
      <c r="N86" s="189"/>
      <c r="O86" s="189"/>
      <c r="P86" s="189"/>
      <c r="Q86" s="189"/>
      <c r="R86" s="189"/>
      <c r="S86" s="189"/>
      <c r="T86" s="189"/>
      <c r="U86" s="189"/>
      <c r="V86" s="189"/>
    </row>
    <row r="87" spans="1:22">
      <c r="A87" s="189"/>
      <c r="B87" s="189"/>
      <c r="C87" s="189"/>
      <c r="D87" s="189"/>
      <c r="E87" s="189"/>
      <c r="F87" s="189"/>
      <c r="G87" s="189"/>
      <c r="H87" s="189"/>
      <c r="I87" s="189"/>
      <c r="J87" s="189"/>
      <c r="K87" s="189"/>
      <c r="L87" s="189"/>
      <c r="M87" s="189"/>
      <c r="N87" s="189"/>
      <c r="O87" s="189"/>
      <c r="P87" s="189"/>
      <c r="Q87" s="189"/>
      <c r="R87" s="189"/>
      <c r="S87" s="189"/>
      <c r="T87" s="189"/>
      <c r="U87" s="189"/>
      <c r="V87" s="189"/>
    </row>
    <row r="88" spans="1:22">
      <c r="A88" s="189"/>
      <c r="B88" s="189"/>
      <c r="C88" s="189"/>
      <c r="D88" s="189"/>
      <c r="E88" s="189"/>
      <c r="F88" s="189"/>
      <c r="G88" s="189"/>
      <c r="H88" s="189"/>
      <c r="I88" s="189"/>
      <c r="J88" s="189"/>
      <c r="K88" s="189"/>
      <c r="L88" s="189"/>
      <c r="M88" s="189"/>
      <c r="N88" s="189"/>
      <c r="O88" s="189"/>
      <c r="P88" s="189"/>
      <c r="Q88" s="189"/>
      <c r="R88" s="189"/>
      <c r="S88" s="189"/>
      <c r="T88" s="189"/>
      <c r="U88" s="189"/>
      <c r="V88" s="189"/>
    </row>
    <row r="89" spans="1:22">
      <c r="A89" s="189"/>
      <c r="B89" s="189"/>
      <c r="C89" s="189"/>
      <c r="D89" s="189"/>
      <c r="E89" s="189"/>
      <c r="F89" s="189"/>
      <c r="G89" s="189"/>
      <c r="H89" s="189"/>
      <c r="I89" s="189"/>
      <c r="J89" s="189"/>
      <c r="K89" s="189"/>
      <c r="L89" s="189"/>
      <c r="M89" s="189"/>
      <c r="N89" s="189"/>
      <c r="O89" s="189"/>
      <c r="P89" s="189"/>
      <c r="Q89" s="189"/>
      <c r="R89" s="189"/>
      <c r="S89" s="189"/>
      <c r="T89" s="189"/>
      <c r="U89" s="189"/>
      <c r="V89" s="189"/>
    </row>
  </sheetData>
  <sheetProtection algorithmName="SHA-512" hashValue="nNz/tj7ae4C1OLP/RN/gdfI+sRtuW0VmZ/RtglIufXpGz8wTQ8xn6SE3trCTgHKzGHPziMy2oWfMW/rizgvDew==" saltValue="YUS8x/h4s1nwtNdKW2lHHw==" spinCount="100000" sheet="1" objects="1" scenarios="1"/>
  <mergeCells count="14">
    <mergeCell ref="A1:U3"/>
    <mergeCell ref="B7:D7"/>
    <mergeCell ref="F7:Q7"/>
    <mergeCell ref="F13:Q13"/>
    <mergeCell ref="A4:AE4"/>
    <mergeCell ref="B20:D20"/>
    <mergeCell ref="B21:P21"/>
    <mergeCell ref="F9:Q9"/>
    <mergeCell ref="B9:D9"/>
    <mergeCell ref="B17:D17"/>
    <mergeCell ref="B13:D13"/>
    <mergeCell ref="F17:Q17"/>
    <mergeCell ref="B15:D15"/>
    <mergeCell ref="F15:Q15"/>
  </mergeCells>
  <phoneticPr fontId="21"/>
  <hyperlinks>
    <hyperlink ref="B13" location="'PGA1 Input Range'!A1" display="PGA1 Input Range" xr:uid="{00000000-0004-0000-0000-000000000000}"/>
    <hyperlink ref="B17" location="About!A1" display="About" xr:uid="{00000000-0004-0000-0000-000001000000}"/>
    <hyperlink ref="B9" location="'PGA1 Input Range'!A1" display="PGA1 Input Range" xr:uid="{00000000-0004-0000-0000-000002000000}"/>
    <hyperlink ref="B17:D17" location="License!A1" display="License" xr:uid="{00000000-0004-0000-0000-000003000000}"/>
    <hyperlink ref="B9:D9" location="Help!R5" display="Help" xr:uid="{00000000-0004-0000-0000-000004000000}"/>
    <hyperlink ref="B13:D13" location="'Voltage Sensing Calculator'!A1" display="Voltage Sensing Calculator" xr:uid="{00000000-0004-0000-0000-000005000000}"/>
    <hyperlink ref="B15:D15" location="'Device Comparison'!O5" display="Device Comparison" xr:uid="{00000000-0004-0000-0000-000006000000}"/>
    <hyperlink ref="B11" location="Directions!A1" display="Directions" xr:uid="{5C89EAC3-EE15-48FD-95C7-BE9DC89CBFFD}"/>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E64"/>
  <sheetViews>
    <sheetView showGridLines="0" showRowColHeaders="0" zoomScaleNormal="100" workbookViewId="0">
      <selection activeCell="G21" sqref="G21"/>
    </sheetView>
  </sheetViews>
  <sheetFormatPr defaultColWidth="8.7109375" defaultRowHeight="15"/>
  <cols>
    <col min="1" max="2" width="8.7109375" style="187"/>
    <col min="3" max="3" width="14.7109375" style="187" bestFit="1" customWidth="1"/>
    <col min="4" max="4" width="19.42578125" style="187" bestFit="1" customWidth="1"/>
    <col min="5" max="5" width="20.5703125" style="187" bestFit="1" customWidth="1"/>
    <col min="6" max="6" width="15.28515625" style="187" bestFit="1" customWidth="1"/>
    <col min="7" max="7" width="16.7109375" style="187" bestFit="1" customWidth="1"/>
    <col min="8" max="8" width="16.7109375" style="187" customWidth="1"/>
    <col min="9" max="9" width="15" style="187" bestFit="1" customWidth="1"/>
    <col min="10" max="12" width="8.7109375" style="187"/>
    <col min="13" max="13" width="12.7109375" style="187" customWidth="1"/>
    <col min="14" max="14" width="6.28515625" style="187" customWidth="1"/>
    <col min="15" max="18" width="8.7109375" style="187"/>
    <col min="19" max="19" width="18.85546875" style="187" customWidth="1"/>
    <col min="20" max="16384" width="8.7109375" style="187"/>
  </cols>
  <sheetData>
    <row r="1" spans="1:31" ht="15" customHeight="1">
      <c r="A1" s="533"/>
      <c r="B1" s="533"/>
      <c r="C1" s="533"/>
      <c r="D1" s="533"/>
      <c r="E1" s="533"/>
      <c r="F1" s="533"/>
      <c r="G1" s="533"/>
      <c r="H1" s="533"/>
      <c r="I1" s="533"/>
      <c r="J1" s="533"/>
      <c r="K1" s="533"/>
      <c r="L1" s="533"/>
      <c r="M1" s="533"/>
      <c r="N1" s="533"/>
      <c r="O1" s="533"/>
      <c r="P1" s="533"/>
      <c r="Q1" s="533"/>
      <c r="R1" s="533"/>
      <c r="S1" s="533"/>
    </row>
    <row r="2" spans="1:31" ht="15" customHeight="1">
      <c r="A2" s="533"/>
      <c r="B2" s="533"/>
      <c r="C2" s="533"/>
      <c r="D2" s="533"/>
      <c r="E2" s="533"/>
      <c r="F2" s="533"/>
      <c r="G2" s="533"/>
      <c r="H2" s="533"/>
      <c r="I2" s="533"/>
      <c r="J2" s="533"/>
      <c r="K2" s="533"/>
      <c r="L2" s="533"/>
      <c r="M2" s="533"/>
      <c r="N2" s="533"/>
      <c r="O2" s="533"/>
      <c r="P2" s="533"/>
      <c r="Q2" s="533"/>
      <c r="R2" s="533"/>
      <c r="S2" s="533"/>
    </row>
    <row r="3" spans="1:31" ht="15" customHeight="1">
      <c r="A3" s="533"/>
      <c r="B3" s="533"/>
      <c r="C3" s="533"/>
      <c r="D3" s="533"/>
      <c r="E3" s="533"/>
      <c r="F3" s="533"/>
      <c r="G3" s="533"/>
      <c r="H3" s="533"/>
      <c r="I3" s="533"/>
      <c r="J3" s="533"/>
      <c r="K3" s="533"/>
      <c r="L3" s="533"/>
      <c r="M3" s="533"/>
      <c r="N3" s="533"/>
      <c r="O3" s="533"/>
      <c r="P3" s="533"/>
      <c r="Q3" s="533"/>
      <c r="R3" s="533"/>
      <c r="S3" s="533"/>
    </row>
    <row r="4" spans="1:31" s="303" customFormat="1" ht="15" customHeight="1">
      <c r="A4" s="550"/>
      <c r="B4" s="550"/>
      <c r="C4" s="550"/>
      <c r="D4" s="550"/>
      <c r="E4" s="550"/>
      <c r="F4" s="550"/>
      <c r="G4" s="550"/>
      <c r="H4" s="550"/>
      <c r="I4" s="550"/>
      <c r="J4" s="550"/>
      <c r="K4" s="550"/>
      <c r="L4" s="550"/>
      <c r="M4" s="550"/>
      <c r="N4" s="550"/>
      <c r="O4" s="550"/>
      <c r="P4" s="550"/>
      <c r="Q4" s="550"/>
      <c r="R4" s="550"/>
      <c r="S4" s="550"/>
      <c r="T4" s="550"/>
      <c r="U4" s="550"/>
      <c r="V4" s="550"/>
      <c r="W4" s="550"/>
      <c r="X4" s="550"/>
      <c r="Y4" s="550"/>
      <c r="Z4" s="550"/>
      <c r="AA4" s="550"/>
      <c r="AB4" s="550"/>
      <c r="AC4" s="550"/>
      <c r="AD4" s="550"/>
      <c r="AE4" s="550"/>
    </row>
    <row r="5" spans="1:31" s="303" customFormat="1" ht="15" customHeight="1">
      <c r="A5" s="304" t="s">
        <v>482</v>
      </c>
      <c r="B5" s="305"/>
      <c r="C5" s="305"/>
      <c r="D5" s="305"/>
      <c r="E5" s="305"/>
      <c r="F5" s="305"/>
      <c r="G5" s="305"/>
      <c r="H5" s="305"/>
      <c r="I5" s="305"/>
      <c r="J5" s="305"/>
      <c r="K5" s="305"/>
      <c r="L5" s="305"/>
      <c r="M5" s="305"/>
      <c r="N5" s="305"/>
      <c r="O5" s="305"/>
      <c r="R5" s="321" t="s">
        <v>8</v>
      </c>
      <c r="T5" s="306"/>
    </row>
    <row r="6" spans="1:31" s="303" customFormat="1" ht="15" customHeight="1">
      <c r="A6" s="306"/>
      <c r="B6" s="306"/>
      <c r="C6" s="306"/>
      <c r="D6" s="306"/>
      <c r="E6" s="306"/>
      <c r="F6" s="306"/>
      <c r="G6" s="306"/>
      <c r="H6" s="306"/>
      <c r="I6" s="306"/>
      <c r="J6" s="306"/>
      <c r="K6" s="306"/>
      <c r="L6" s="306"/>
      <c r="M6" s="306"/>
      <c r="N6" s="306"/>
      <c r="O6" s="306"/>
      <c r="P6" s="306"/>
      <c r="Q6" s="306"/>
      <c r="R6" s="306"/>
      <c r="S6" s="306"/>
      <c r="T6" s="306"/>
    </row>
    <row r="7" spans="1:31" s="303" customFormat="1" ht="15" customHeight="1">
      <c r="A7" s="307"/>
      <c r="B7" s="547" t="s">
        <v>155</v>
      </c>
      <c r="C7" s="547"/>
      <c r="D7" s="547"/>
      <c r="E7" s="547"/>
      <c r="F7" s="547"/>
      <c r="G7" s="547"/>
      <c r="H7" s="547"/>
      <c r="I7" s="547"/>
      <c r="J7" s="308"/>
      <c r="K7" s="308"/>
      <c r="L7" s="308"/>
      <c r="M7" s="308"/>
      <c r="N7" s="308"/>
      <c r="O7" s="308"/>
      <c r="P7" s="308"/>
      <c r="Q7" s="308"/>
      <c r="R7" s="308"/>
      <c r="S7" s="308"/>
      <c r="T7" s="306"/>
    </row>
    <row r="8" spans="1:31" s="303" customFormat="1" ht="15" customHeight="1">
      <c r="A8" s="306"/>
      <c r="B8" s="306"/>
      <c r="C8" s="306"/>
      <c r="D8" s="306"/>
      <c r="E8" s="306"/>
      <c r="F8" s="306"/>
      <c r="G8" s="306"/>
      <c r="H8" s="306"/>
      <c r="I8" s="306"/>
      <c r="J8" s="306"/>
      <c r="K8" s="306"/>
      <c r="L8" s="306"/>
      <c r="M8" s="306"/>
      <c r="N8" s="306"/>
      <c r="O8" s="306"/>
      <c r="P8" s="306"/>
      <c r="Q8" s="306"/>
      <c r="R8" s="306"/>
      <c r="S8" s="306"/>
      <c r="T8" s="306"/>
    </row>
    <row r="9" spans="1:31" s="303" customFormat="1" ht="15" customHeight="1">
      <c r="A9" s="306"/>
      <c r="B9" s="306" t="s">
        <v>156</v>
      </c>
      <c r="C9" s="306"/>
      <c r="D9" s="306"/>
      <c r="E9" s="306"/>
      <c r="F9" s="306"/>
      <c r="G9" s="306"/>
      <c r="H9" s="306"/>
      <c r="I9" s="328" t="s">
        <v>484</v>
      </c>
      <c r="J9" s="307"/>
      <c r="K9" s="306"/>
      <c r="L9" s="306"/>
      <c r="M9" s="306"/>
      <c r="N9" s="306"/>
      <c r="O9" s="307"/>
      <c r="P9" s="306"/>
      <c r="Q9" s="306"/>
      <c r="R9" s="306"/>
      <c r="S9" s="306"/>
      <c r="T9" s="306"/>
    </row>
    <row r="10" spans="1:31" s="303" customFormat="1" ht="15" customHeight="1">
      <c r="A10" s="306"/>
      <c r="B10" s="306"/>
      <c r="C10" s="306"/>
      <c r="D10" s="306"/>
      <c r="E10" s="306"/>
      <c r="F10" s="306"/>
      <c r="G10" s="306"/>
      <c r="H10" s="306"/>
      <c r="I10" s="306"/>
      <c r="J10" s="306"/>
      <c r="K10" s="306"/>
      <c r="L10" s="306"/>
      <c r="M10" s="306"/>
      <c r="N10" s="306"/>
      <c r="O10" s="306"/>
      <c r="P10" s="306"/>
      <c r="Q10" s="306"/>
      <c r="R10" s="306"/>
      <c r="S10" s="306"/>
      <c r="T10" s="306"/>
    </row>
    <row r="11" spans="1:31" s="303" customFormat="1" ht="15" customHeight="1">
      <c r="A11" s="306"/>
      <c r="B11" s="306" t="s">
        <v>152</v>
      </c>
      <c r="C11" s="306"/>
      <c r="D11" s="306"/>
      <c r="E11" s="306"/>
      <c r="F11" s="306"/>
      <c r="G11" s="306"/>
      <c r="H11" s="306"/>
      <c r="I11" s="306"/>
      <c r="J11" s="306"/>
      <c r="K11" s="306"/>
      <c r="L11" s="306"/>
      <c r="M11" s="306"/>
      <c r="N11" s="306"/>
      <c r="O11" s="306"/>
      <c r="P11" s="306"/>
      <c r="Q11" s="306"/>
      <c r="R11" s="306"/>
      <c r="S11" s="306"/>
      <c r="T11" s="306"/>
    </row>
    <row r="12" spans="1:31" s="303" customFormat="1" ht="15" customHeight="1" thickBot="1">
      <c r="A12" s="306"/>
      <c r="B12" s="306"/>
      <c r="C12" s="549"/>
      <c r="D12" s="549"/>
      <c r="E12" s="305"/>
      <c r="F12" s="309"/>
      <c r="G12" s="309"/>
      <c r="H12" s="309"/>
      <c r="I12" s="309"/>
      <c r="J12" s="309"/>
      <c r="K12" s="306"/>
      <c r="L12" s="306"/>
      <c r="M12" s="306"/>
      <c r="N12" s="306"/>
      <c r="O12" s="306"/>
      <c r="P12" s="306"/>
      <c r="Q12" s="306"/>
      <c r="R12" s="306"/>
      <c r="S12" s="306"/>
      <c r="T12" s="306"/>
    </row>
    <row r="13" spans="1:31" s="303" customFormat="1" ht="15" customHeight="1" thickBot="1">
      <c r="A13" s="307"/>
      <c r="B13" s="307"/>
      <c r="C13" s="310" t="s">
        <v>222</v>
      </c>
      <c r="D13" s="310" t="s">
        <v>223</v>
      </c>
      <c r="E13" s="310" t="s">
        <v>224</v>
      </c>
      <c r="F13" s="310" t="s">
        <v>225</v>
      </c>
      <c r="G13" s="310" t="s">
        <v>226</v>
      </c>
      <c r="H13" s="310" t="s">
        <v>270</v>
      </c>
      <c r="I13" s="310" t="s">
        <v>227</v>
      </c>
      <c r="J13" s="544" t="s">
        <v>228</v>
      </c>
      <c r="K13" s="545"/>
      <c r="L13" s="545"/>
      <c r="M13" s="546"/>
      <c r="N13" s="307"/>
      <c r="O13" s="307"/>
      <c r="P13" s="307"/>
      <c r="Q13" s="307"/>
      <c r="R13" s="307"/>
      <c r="S13" s="307"/>
    </row>
    <row r="14" spans="1:31" s="303" customFormat="1" ht="15" customHeight="1">
      <c r="A14" s="307"/>
      <c r="B14" s="307"/>
      <c r="C14" s="524" t="s">
        <v>488</v>
      </c>
      <c r="D14" s="502" t="s">
        <v>254</v>
      </c>
      <c r="E14" s="502" t="s">
        <v>500</v>
      </c>
      <c r="F14" s="502" t="s">
        <v>232</v>
      </c>
      <c r="G14" s="502"/>
      <c r="H14" s="502"/>
      <c r="I14" s="503"/>
      <c r="J14" s="535" t="s">
        <v>502</v>
      </c>
      <c r="K14" s="536"/>
      <c r="L14" s="536"/>
      <c r="M14" s="537"/>
      <c r="N14" s="307"/>
      <c r="O14" s="307"/>
      <c r="P14" s="307"/>
      <c r="Q14" s="307"/>
      <c r="R14" s="307"/>
      <c r="S14" s="307"/>
    </row>
    <row r="15" spans="1:31" s="303" customFormat="1" ht="15" customHeight="1">
      <c r="A15" s="307"/>
      <c r="B15" s="307"/>
      <c r="C15" s="525" t="s">
        <v>489</v>
      </c>
      <c r="D15" s="502" t="s">
        <v>254</v>
      </c>
      <c r="E15" s="502" t="s">
        <v>500</v>
      </c>
      <c r="F15" s="502" t="s">
        <v>232</v>
      </c>
      <c r="G15" s="504"/>
      <c r="H15" s="504" t="s">
        <v>233</v>
      </c>
      <c r="I15" s="505"/>
      <c r="J15" s="527" t="s">
        <v>503</v>
      </c>
      <c r="K15" s="520"/>
      <c r="L15" s="520"/>
      <c r="M15" s="521"/>
      <c r="N15" s="307"/>
      <c r="O15" s="307"/>
      <c r="P15" s="307"/>
      <c r="Q15" s="307"/>
      <c r="R15" s="307"/>
      <c r="S15" s="307"/>
    </row>
    <row r="16" spans="1:31" s="303" customFormat="1" ht="27.95" customHeight="1">
      <c r="A16" s="307"/>
      <c r="B16" s="307"/>
      <c r="C16" s="526" t="s">
        <v>490</v>
      </c>
      <c r="D16" s="502" t="s">
        <v>254</v>
      </c>
      <c r="E16" s="504" t="s">
        <v>501</v>
      </c>
      <c r="F16" s="502" t="s">
        <v>232</v>
      </c>
      <c r="G16" s="504"/>
      <c r="H16" s="504" t="s">
        <v>233</v>
      </c>
      <c r="I16" s="505"/>
      <c r="J16" s="527" t="s">
        <v>506</v>
      </c>
      <c r="K16" s="520"/>
      <c r="L16" s="520"/>
      <c r="M16" s="521"/>
      <c r="N16" s="307"/>
      <c r="O16" s="307"/>
      <c r="P16" s="307"/>
      <c r="Q16" s="307"/>
      <c r="R16" s="307"/>
      <c r="S16" s="307"/>
    </row>
    <row r="17" spans="1:19" s="303" customFormat="1" ht="27.95" customHeight="1">
      <c r="A17" s="307"/>
      <c r="B17" s="307"/>
      <c r="C17" s="526" t="s">
        <v>492</v>
      </c>
      <c r="D17" s="502" t="s">
        <v>254</v>
      </c>
      <c r="E17" s="504" t="s">
        <v>501</v>
      </c>
      <c r="F17" s="502" t="s">
        <v>232</v>
      </c>
      <c r="G17" s="504"/>
      <c r="H17" s="504" t="s">
        <v>233</v>
      </c>
      <c r="I17" s="505"/>
      <c r="J17" s="527" t="s">
        <v>506</v>
      </c>
      <c r="K17" s="520"/>
      <c r="L17" s="520"/>
      <c r="M17" s="521"/>
      <c r="N17" s="307"/>
      <c r="O17" s="307"/>
      <c r="P17" s="307"/>
      <c r="Q17" s="307"/>
      <c r="R17" s="307"/>
      <c r="S17" s="307"/>
    </row>
    <row r="18" spans="1:19" s="303" customFormat="1" ht="15" customHeight="1">
      <c r="A18" s="307"/>
      <c r="B18" s="307"/>
      <c r="C18" s="525" t="s">
        <v>493</v>
      </c>
      <c r="D18" s="502" t="s">
        <v>254</v>
      </c>
      <c r="E18" s="504" t="s">
        <v>501</v>
      </c>
      <c r="F18" s="502" t="s">
        <v>232</v>
      </c>
      <c r="G18" s="504"/>
      <c r="H18" s="504"/>
      <c r="I18" s="505"/>
      <c r="J18" s="527" t="s">
        <v>504</v>
      </c>
      <c r="K18" s="520"/>
      <c r="L18" s="520"/>
      <c r="M18" s="521"/>
      <c r="N18" s="307"/>
      <c r="O18" s="307"/>
      <c r="P18" s="307"/>
      <c r="Q18" s="307"/>
      <c r="R18" s="307"/>
      <c r="S18" s="307"/>
    </row>
    <row r="19" spans="1:19" s="303" customFormat="1" ht="15" customHeight="1">
      <c r="A19" s="307"/>
      <c r="B19" s="307"/>
      <c r="C19" s="525" t="s">
        <v>494</v>
      </c>
      <c r="D19" s="502" t="s">
        <v>254</v>
      </c>
      <c r="E19" s="504" t="s">
        <v>501</v>
      </c>
      <c r="F19" s="502" t="s">
        <v>232</v>
      </c>
      <c r="G19" s="504"/>
      <c r="H19" s="504" t="s">
        <v>233</v>
      </c>
      <c r="I19" s="505"/>
      <c r="J19" s="528" t="s">
        <v>505</v>
      </c>
      <c r="K19" s="522"/>
      <c r="L19" s="522"/>
      <c r="M19" s="523"/>
      <c r="N19" s="307"/>
      <c r="O19" s="307"/>
      <c r="P19" s="307"/>
      <c r="Q19" s="307"/>
      <c r="R19" s="307"/>
      <c r="S19" s="307"/>
    </row>
    <row r="20" spans="1:19" s="303" customFormat="1" ht="15" customHeight="1">
      <c r="A20" s="307"/>
      <c r="B20" s="307"/>
      <c r="C20" s="506" t="s">
        <v>217</v>
      </c>
      <c r="D20" s="507" t="s">
        <v>230</v>
      </c>
      <c r="E20" s="508" t="s">
        <v>231</v>
      </c>
      <c r="F20" s="507" t="s">
        <v>240</v>
      </c>
      <c r="G20" s="508"/>
      <c r="H20" s="507"/>
      <c r="I20" s="507"/>
      <c r="J20" s="552" t="s">
        <v>241</v>
      </c>
      <c r="K20" s="553"/>
      <c r="L20" s="553"/>
      <c r="M20" s="554"/>
      <c r="N20" s="307"/>
      <c r="O20" s="307"/>
      <c r="P20" s="307"/>
      <c r="Q20" s="307"/>
      <c r="R20" s="307"/>
      <c r="S20" s="307"/>
    </row>
    <row r="21" spans="1:19" s="303" customFormat="1" ht="15" customHeight="1">
      <c r="A21" s="307"/>
      <c r="B21" s="307"/>
      <c r="C21" s="509" t="s">
        <v>203</v>
      </c>
      <c r="D21" s="510" t="s">
        <v>254</v>
      </c>
      <c r="E21" s="511" t="s">
        <v>265</v>
      </c>
      <c r="F21" s="510" t="s">
        <v>240</v>
      </c>
      <c r="G21" s="511"/>
      <c r="H21" s="510" t="s">
        <v>233</v>
      </c>
      <c r="I21" s="510"/>
      <c r="J21" s="555" t="s">
        <v>469</v>
      </c>
      <c r="K21" s="556"/>
      <c r="L21" s="556"/>
      <c r="M21" s="557"/>
      <c r="N21" s="307"/>
      <c r="O21" s="307"/>
      <c r="P21" s="307"/>
      <c r="Q21" s="307"/>
      <c r="R21" s="307"/>
      <c r="S21" s="307"/>
    </row>
    <row r="22" spans="1:19" s="303" customFormat="1" ht="15" customHeight="1">
      <c r="A22" s="307"/>
      <c r="B22" s="307"/>
      <c r="C22" s="512" t="s">
        <v>78</v>
      </c>
      <c r="D22" s="510" t="s">
        <v>230</v>
      </c>
      <c r="E22" s="511" t="s">
        <v>242</v>
      </c>
      <c r="F22" s="510" t="s">
        <v>232</v>
      </c>
      <c r="G22" s="511"/>
      <c r="H22" s="510"/>
      <c r="I22" s="510"/>
      <c r="J22" s="538" t="s">
        <v>246</v>
      </c>
      <c r="K22" s="539"/>
      <c r="L22" s="539"/>
      <c r="M22" s="540"/>
      <c r="N22" s="307"/>
      <c r="O22" s="307"/>
      <c r="P22" s="307"/>
      <c r="Q22" s="307"/>
      <c r="R22" s="307"/>
      <c r="S22" s="307"/>
    </row>
    <row r="23" spans="1:19" s="303" customFormat="1" ht="15" customHeight="1">
      <c r="A23" s="307"/>
      <c r="B23" s="307"/>
      <c r="C23" s="513" t="s">
        <v>247</v>
      </c>
      <c r="D23" s="507" t="s">
        <v>230</v>
      </c>
      <c r="E23" s="508" t="s">
        <v>242</v>
      </c>
      <c r="F23" s="507" t="s">
        <v>232</v>
      </c>
      <c r="G23" s="508"/>
      <c r="H23" s="507" t="s">
        <v>233</v>
      </c>
      <c r="I23" s="507"/>
      <c r="J23" s="538" t="s">
        <v>248</v>
      </c>
      <c r="K23" s="539"/>
      <c r="L23" s="539"/>
      <c r="M23" s="540"/>
      <c r="N23" s="307"/>
      <c r="O23" s="307"/>
      <c r="P23" s="307"/>
      <c r="Q23" s="311"/>
      <c r="R23" s="307"/>
      <c r="S23" s="307"/>
    </row>
    <row r="24" spans="1:19" s="303" customFormat="1" ht="15" customHeight="1">
      <c r="A24" s="307"/>
      <c r="B24" s="307"/>
      <c r="C24" s="512" t="s">
        <v>79</v>
      </c>
      <c r="D24" s="510" t="s">
        <v>230</v>
      </c>
      <c r="E24" s="511" t="s">
        <v>242</v>
      </c>
      <c r="F24" s="510" t="s">
        <v>232</v>
      </c>
      <c r="G24" s="511"/>
      <c r="H24" s="510"/>
      <c r="I24" s="510"/>
      <c r="J24" s="538" t="s">
        <v>251</v>
      </c>
      <c r="K24" s="539"/>
      <c r="L24" s="539"/>
      <c r="M24" s="540"/>
      <c r="N24" s="307"/>
      <c r="O24" s="307"/>
      <c r="P24" s="307"/>
      <c r="Q24" s="307"/>
      <c r="R24" s="307"/>
      <c r="S24" s="307"/>
    </row>
    <row r="25" spans="1:19" s="303" customFormat="1" ht="15" customHeight="1">
      <c r="A25" s="307"/>
      <c r="B25" s="307"/>
      <c r="C25" s="506" t="s">
        <v>48</v>
      </c>
      <c r="D25" s="507" t="s">
        <v>230</v>
      </c>
      <c r="E25" s="508" t="s">
        <v>242</v>
      </c>
      <c r="F25" s="507" t="s">
        <v>232</v>
      </c>
      <c r="G25" s="508"/>
      <c r="H25" s="507" t="s">
        <v>233</v>
      </c>
      <c r="I25" s="507"/>
      <c r="J25" s="538" t="s">
        <v>252</v>
      </c>
      <c r="K25" s="539"/>
      <c r="L25" s="539"/>
      <c r="M25" s="540"/>
      <c r="N25" s="307"/>
      <c r="O25" s="307"/>
      <c r="P25" s="307"/>
      <c r="Q25" s="307"/>
      <c r="R25" s="307"/>
      <c r="S25" s="307"/>
    </row>
    <row r="26" spans="1:19" s="303" customFormat="1" ht="15" customHeight="1">
      <c r="A26" s="307"/>
      <c r="B26" s="307"/>
      <c r="C26" s="512" t="s">
        <v>11</v>
      </c>
      <c r="D26" s="510" t="s">
        <v>230</v>
      </c>
      <c r="E26" s="511" t="s">
        <v>231</v>
      </c>
      <c r="F26" s="510" t="s">
        <v>232</v>
      </c>
      <c r="G26" s="511"/>
      <c r="H26" s="510"/>
      <c r="I26" s="510"/>
      <c r="J26" s="538" t="s">
        <v>237</v>
      </c>
      <c r="K26" s="539"/>
      <c r="L26" s="539"/>
      <c r="M26" s="540"/>
      <c r="N26" s="307"/>
      <c r="O26" s="307"/>
      <c r="P26" s="307"/>
      <c r="Q26" s="307"/>
      <c r="R26" s="307"/>
      <c r="S26" s="307"/>
    </row>
    <row r="27" spans="1:19" s="303" customFormat="1" ht="15" customHeight="1">
      <c r="A27" s="307"/>
      <c r="B27" s="307"/>
      <c r="C27" s="513" t="s">
        <v>238</v>
      </c>
      <c r="D27" s="507" t="s">
        <v>230</v>
      </c>
      <c r="E27" s="508" t="s">
        <v>231</v>
      </c>
      <c r="F27" s="507" t="s">
        <v>232</v>
      </c>
      <c r="G27" s="508"/>
      <c r="H27" s="507" t="s">
        <v>233</v>
      </c>
      <c r="I27" s="507"/>
      <c r="J27" s="538" t="s">
        <v>239</v>
      </c>
      <c r="K27" s="539"/>
      <c r="L27" s="539"/>
      <c r="M27" s="540"/>
      <c r="N27" s="307"/>
      <c r="O27" s="307"/>
      <c r="P27" s="307"/>
      <c r="Q27" s="307"/>
      <c r="R27" s="307"/>
      <c r="S27" s="307"/>
    </row>
    <row r="28" spans="1:19" s="303" customFormat="1" ht="15" customHeight="1">
      <c r="A28" s="307"/>
      <c r="B28" s="307"/>
      <c r="C28" s="512" t="s">
        <v>80</v>
      </c>
      <c r="D28" s="510" t="s">
        <v>254</v>
      </c>
      <c r="E28" s="511" t="s">
        <v>265</v>
      </c>
      <c r="F28" s="510" t="s">
        <v>232</v>
      </c>
      <c r="G28" s="511"/>
      <c r="H28" s="510"/>
      <c r="I28" s="510"/>
      <c r="J28" s="538" t="s">
        <v>266</v>
      </c>
      <c r="K28" s="539"/>
      <c r="L28" s="539"/>
      <c r="M28" s="540"/>
      <c r="N28" s="307"/>
      <c r="O28" s="307"/>
      <c r="P28" s="307"/>
      <c r="Q28" s="307"/>
      <c r="R28" s="307"/>
      <c r="S28" s="307"/>
    </row>
    <row r="29" spans="1:19" s="303" customFormat="1" ht="15" customHeight="1">
      <c r="A29" s="307"/>
      <c r="B29" s="307"/>
      <c r="C29" s="514" t="s">
        <v>81</v>
      </c>
      <c r="D29" s="507" t="s">
        <v>254</v>
      </c>
      <c r="E29" s="508" t="s">
        <v>265</v>
      </c>
      <c r="F29" s="507" t="s">
        <v>232</v>
      </c>
      <c r="G29" s="508"/>
      <c r="H29" s="507" t="s">
        <v>233</v>
      </c>
      <c r="I29" s="507"/>
      <c r="J29" s="538" t="s">
        <v>267</v>
      </c>
      <c r="K29" s="539"/>
      <c r="L29" s="539"/>
      <c r="M29" s="540"/>
      <c r="N29" s="307"/>
      <c r="O29" s="307"/>
      <c r="P29" s="307"/>
      <c r="Q29" s="307"/>
      <c r="R29" s="307"/>
      <c r="S29" s="307"/>
    </row>
    <row r="30" spans="1:19" s="303" customFormat="1" ht="14.25">
      <c r="A30" s="307"/>
      <c r="B30" s="307"/>
      <c r="C30" s="515" t="s">
        <v>220</v>
      </c>
      <c r="D30" s="510" t="s">
        <v>254</v>
      </c>
      <c r="E30" s="511" t="s">
        <v>259</v>
      </c>
      <c r="F30" s="510" t="s">
        <v>232</v>
      </c>
      <c r="G30" s="511"/>
      <c r="H30" s="510"/>
      <c r="I30" s="510"/>
      <c r="J30" s="538" t="s">
        <v>260</v>
      </c>
      <c r="K30" s="539"/>
      <c r="L30" s="539"/>
      <c r="M30" s="540"/>
      <c r="N30" s="307"/>
      <c r="O30" s="307"/>
      <c r="P30" s="307"/>
      <c r="Q30" s="307"/>
      <c r="R30" s="307"/>
      <c r="S30" s="307"/>
    </row>
    <row r="31" spans="1:19" s="303" customFormat="1" ht="14.25">
      <c r="A31" s="307"/>
      <c r="B31" s="307"/>
      <c r="C31" s="513" t="s">
        <v>221</v>
      </c>
      <c r="D31" s="507" t="s">
        <v>254</v>
      </c>
      <c r="E31" s="508" t="s">
        <v>263</v>
      </c>
      <c r="F31" s="507" t="s">
        <v>232</v>
      </c>
      <c r="G31" s="508"/>
      <c r="H31" s="507"/>
      <c r="I31" s="507"/>
      <c r="J31" s="538" t="s">
        <v>264</v>
      </c>
      <c r="K31" s="539"/>
      <c r="L31" s="539"/>
      <c r="M31" s="540"/>
      <c r="N31" s="307"/>
      <c r="O31" s="307"/>
      <c r="P31" s="307"/>
      <c r="Q31" s="307"/>
      <c r="R31" s="307"/>
      <c r="S31" s="307"/>
    </row>
    <row r="32" spans="1:19" s="303" customFormat="1" ht="14.25">
      <c r="A32" s="307"/>
      <c r="B32" s="307"/>
      <c r="C32" s="509" t="s">
        <v>249</v>
      </c>
      <c r="D32" s="510" t="s">
        <v>230</v>
      </c>
      <c r="E32" s="511" t="s">
        <v>242</v>
      </c>
      <c r="F32" s="516" t="s">
        <v>232</v>
      </c>
      <c r="G32" s="511"/>
      <c r="H32" s="510"/>
      <c r="I32" s="510" t="s">
        <v>233</v>
      </c>
      <c r="J32" s="538" t="s">
        <v>250</v>
      </c>
      <c r="K32" s="539"/>
      <c r="L32" s="539"/>
      <c r="M32" s="540"/>
      <c r="N32" s="307"/>
      <c r="O32" s="307"/>
      <c r="P32" s="307"/>
      <c r="Q32" s="307"/>
      <c r="R32" s="307"/>
      <c r="S32" s="307"/>
    </row>
    <row r="33" spans="1:20" s="303" customFormat="1" ht="14.25">
      <c r="A33" s="307"/>
      <c r="B33" s="307"/>
      <c r="C33" s="506" t="s">
        <v>268</v>
      </c>
      <c r="D33" s="507" t="s">
        <v>254</v>
      </c>
      <c r="E33" s="508" t="s">
        <v>265</v>
      </c>
      <c r="F33" s="507" t="s">
        <v>232</v>
      </c>
      <c r="G33" s="508"/>
      <c r="H33" s="507"/>
      <c r="I33" s="507" t="s">
        <v>233</v>
      </c>
      <c r="J33" s="538" t="s">
        <v>269</v>
      </c>
      <c r="K33" s="539"/>
      <c r="L33" s="539"/>
      <c r="M33" s="540"/>
      <c r="N33" s="307"/>
      <c r="O33" s="307"/>
      <c r="P33" s="307"/>
      <c r="Q33" s="307"/>
      <c r="R33" s="307"/>
      <c r="S33" s="307"/>
    </row>
    <row r="34" spans="1:20" s="303" customFormat="1" ht="15" customHeight="1">
      <c r="A34" s="306"/>
      <c r="B34" s="307"/>
      <c r="C34" s="512" t="s">
        <v>49</v>
      </c>
      <c r="D34" s="510" t="s">
        <v>230</v>
      </c>
      <c r="E34" s="511" t="s">
        <v>242</v>
      </c>
      <c r="F34" s="510" t="s">
        <v>232</v>
      </c>
      <c r="G34" s="511" t="s">
        <v>233</v>
      </c>
      <c r="H34" s="510"/>
      <c r="I34" s="510"/>
      <c r="J34" s="538" t="s">
        <v>243</v>
      </c>
      <c r="K34" s="539"/>
      <c r="L34" s="539"/>
      <c r="M34" s="540"/>
      <c r="N34" s="307"/>
      <c r="O34" s="307"/>
      <c r="P34" s="306"/>
      <c r="Q34" s="306"/>
      <c r="R34" s="306"/>
      <c r="S34" s="306"/>
      <c r="T34" s="306"/>
    </row>
    <row r="35" spans="1:20" s="303" customFormat="1" ht="15" customHeight="1">
      <c r="A35" s="306"/>
      <c r="B35" s="307"/>
      <c r="C35" s="513" t="s">
        <v>244</v>
      </c>
      <c r="D35" s="507" t="s">
        <v>230</v>
      </c>
      <c r="E35" s="508" t="s">
        <v>242</v>
      </c>
      <c r="F35" s="507" t="s">
        <v>232</v>
      </c>
      <c r="G35" s="508" t="s">
        <v>233</v>
      </c>
      <c r="H35" s="507" t="s">
        <v>233</v>
      </c>
      <c r="I35" s="507"/>
      <c r="J35" s="538" t="s">
        <v>245</v>
      </c>
      <c r="K35" s="539"/>
      <c r="L35" s="539"/>
      <c r="M35" s="540"/>
      <c r="N35" s="307"/>
      <c r="O35" s="307"/>
      <c r="P35" s="306"/>
      <c r="Q35" s="306"/>
      <c r="R35" s="306"/>
      <c r="S35" s="306"/>
      <c r="T35" s="306"/>
    </row>
    <row r="36" spans="1:20" s="303" customFormat="1" ht="15" customHeight="1">
      <c r="A36" s="306"/>
      <c r="B36" s="306"/>
      <c r="C36" s="509" t="s">
        <v>229</v>
      </c>
      <c r="D36" s="510" t="s">
        <v>230</v>
      </c>
      <c r="E36" s="511" t="s">
        <v>231</v>
      </c>
      <c r="F36" s="510" t="s">
        <v>232</v>
      </c>
      <c r="G36" s="511" t="s">
        <v>233</v>
      </c>
      <c r="H36" s="510"/>
      <c r="I36" s="510"/>
      <c r="J36" s="538" t="s">
        <v>234</v>
      </c>
      <c r="K36" s="539"/>
      <c r="L36" s="539"/>
      <c r="M36" s="540"/>
      <c r="N36" s="306"/>
      <c r="O36" s="306"/>
      <c r="P36" s="306"/>
      <c r="Q36" s="306"/>
      <c r="R36" s="306"/>
      <c r="S36" s="306"/>
      <c r="T36" s="306"/>
    </row>
    <row r="37" spans="1:20" s="303" customFormat="1" ht="15" customHeight="1">
      <c r="A37" s="306"/>
      <c r="B37" s="306"/>
      <c r="C37" s="506" t="s">
        <v>235</v>
      </c>
      <c r="D37" s="507" t="s">
        <v>230</v>
      </c>
      <c r="E37" s="508" t="s">
        <v>231</v>
      </c>
      <c r="F37" s="507" t="s">
        <v>232</v>
      </c>
      <c r="G37" s="508" t="s">
        <v>233</v>
      </c>
      <c r="H37" s="507" t="s">
        <v>233</v>
      </c>
      <c r="I37" s="507"/>
      <c r="J37" s="538" t="s">
        <v>236</v>
      </c>
      <c r="K37" s="539"/>
      <c r="L37" s="539"/>
      <c r="M37" s="540"/>
      <c r="N37" s="306"/>
      <c r="O37" s="306"/>
      <c r="P37" s="306"/>
      <c r="Q37" s="306"/>
      <c r="R37" s="306"/>
      <c r="S37" s="306"/>
      <c r="T37" s="306"/>
    </row>
    <row r="38" spans="1:20" s="303" customFormat="1" ht="15" customHeight="1">
      <c r="A38" s="306"/>
      <c r="B38" s="306"/>
      <c r="C38" s="515" t="s">
        <v>253</v>
      </c>
      <c r="D38" s="510" t="s">
        <v>254</v>
      </c>
      <c r="E38" s="511" t="s">
        <v>255</v>
      </c>
      <c r="F38" s="510" t="s">
        <v>232</v>
      </c>
      <c r="G38" s="511" t="s">
        <v>233</v>
      </c>
      <c r="H38" s="510"/>
      <c r="I38" s="510"/>
      <c r="J38" s="538" t="s">
        <v>256</v>
      </c>
      <c r="K38" s="539"/>
      <c r="L38" s="539"/>
      <c r="M38" s="540"/>
      <c r="N38" s="306"/>
      <c r="O38" s="306"/>
      <c r="P38" s="306"/>
      <c r="Q38" s="306"/>
      <c r="R38" s="306"/>
      <c r="S38" s="306"/>
      <c r="T38" s="306"/>
    </row>
    <row r="39" spans="1:20" s="303" customFormat="1" ht="15" customHeight="1">
      <c r="A39" s="306"/>
      <c r="B39" s="306"/>
      <c r="C39" s="509" t="s">
        <v>257</v>
      </c>
      <c r="D39" s="510" t="s">
        <v>254</v>
      </c>
      <c r="E39" s="511" t="s">
        <v>255</v>
      </c>
      <c r="F39" s="510" t="s">
        <v>232</v>
      </c>
      <c r="G39" s="511" t="s">
        <v>233</v>
      </c>
      <c r="H39" s="510" t="s">
        <v>233</v>
      </c>
      <c r="I39" s="510"/>
      <c r="J39" s="538" t="s">
        <v>258</v>
      </c>
      <c r="K39" s="539"/>
      <c r="L39" s="539"/>
      <c r="M39" s="540"/>
      <c r="N39" s="306"/>
      <c r="O39" s="306"/>
      <c r="P39" s="306"/>
      <c r="Q39" s="306"/>
      <c r="R39" s="306"/>
      <c r="S39" s="306"/>
      <c r="T39" s="306"/>
    </row>
    <row r="40" spans="1:20" s="303" customFormat="1" ht="15" customHeight="1" thickBot="1">
      <c r="A40" s="306"/>
      <c r="B40" s="306"/>
      <c r="C40" s="517" t="s">
        <v>82</v>
      </c>
      <c r="D40" s="518" t="s">
        <v>254</v>
      </c>
      <c r="E40" s="519" t="s">
        <v>261</v>
      </c>
      <c r="F40" s="518" t="s">
        <v>232</v>
      </c>
      <c r="G40" s="519"/>
      <c r="H40" s="518"/>
      <c r="I40" s="518"/>
      <c r="J40" s="541" t="s">
        <v>262</v>
      </c>
      <c r="K40" s="542"/>
      <c r="L40" s="542"/>
      <c r="M40" s="543"/>
      <c r="N40" s="306"/>
      <c r="O40" s="306"/>
      <c r="P40" s="306"/>
      <c r="Q40" s="306"/>
      <c r="R40" s="306"/>
      <c r="S40" s="306"/>
      <c r="T40" s="306"/>
    </row>
    <row r="41" spans="1:20" s="303" customFormat="1" ht="15" customHeight="1">
      <c r="A41" s="306"/>
      <c r="B41" s="306"/>
      <c r="C41" s="306"/>
      <c r="D41" s="306"/>
      <c r="E41" s="306"/>
      <c r="F41" s="306"/>
      <c r="G41" s="306"/>
      <c r="H41" s="306"/>
      <c r="I41" s="306"/>
      <c r="J41" s="306"/>
      <c r="K41" s="306"/>
      <c r="L41" s="306"/>
      <c r="M41" s="306"/>
      <c r="N41" s="306"/>
      <c r="O41" s="306"/>
      <c r="P41" s="306"/>
      <c r="Q41" s="306"/>
      <c r="R41" s="306"/>
      <c r="S41" s="306"/>
      <c r="T41" s="306"/>
    </row>
    <row r="42" spans="1:20" s="303" customFormat="1" ht="15" customHeight="1">
      <c r="A42" s="306"/>
      <c r="B42" s="306" t="s">
        <v>153</v>
      </c>
      <c r="C42" s="306"/>
      <c r="D42" s="306"/>
      <c r="E42" s="306"/>
      <c r="F42" s="306"/>
      <c r="G42" s="306"/>
      <c r="H42" s="306"/>
      <c r="I42" s="306"/>
      <c r="J42" s="306"/>
      <c r="K42" s="306"/>
      <c r="L42" s="306"/>
      <c r="M42" s="306"/>
      <c r="N42" s="306"/>
      <c r="O42" s="306"/>
      <c r="P42" s="306"/>
      <c r="Q42" s="306"/>
      <c r="R42" s="306"/>
      <c r="S42" s="306"/>
      <c r="T42" s="306"/>
    </row>
    <row r="43" spans="1:20" s="303" customFormat="1" ht="15" customHeight="1">
      <c r="A43" s="306"/>
      <c r="B43" s="306"/>
      <c r="C43" s="551" t="s">
        <v>10</v>
      </c>
      <c r="D43" s="551"/>
      <c r="E43" s="548" t="s">
        <v>8</v>
      </c>
      <c r="F43" s="548"/>
      <c r="G43" s="548"/>
      <c r="H43" s="548"/>
      <c r="I43" s="548"/>
      <c r="J43" s="306"/>
      <c r="K43" s="306"/>
      <c r="L43" s="306"/>
      <c r="M43" s="306"/>
      <c r="N43" s="306"/>
      <c r="O43" s="306"/>
      <c r="P43" s="306"/>
      <c r="Q43" s="306"/>
      <c r="R43" s="306"/>
      <c r="S43" s="306"/>
      <c r="T43" s="306"/>
    </row>
    <row r="44" spans="1:20" s="303" customFormat="1" ht="15" customHeight="1">
      <c r="A44" s="306"/>
      <c r="B44" s="306"/>
      <c r="C44" s="306"/>
      <c r="D44" s="306"/>
      <c r="E44" s="306"/>
      <c r="F44" s="306"/>
      <c r="G44" s="306"/>
      <c r="H44" s="306"/>
      <c r="I44" s="306"/>
      <c r="J44" s="306"/>
      <c r="K44" s="306"/>
      <c r="L44" s="306"/>
      <c r="M44" s="306"/>
      <c r="N44" s="306"/>
      <c r="O44" s="306"/>
      <c r="P44" s="306"/>
      <c r="Q44" s="306"/>
      <c r="R44" s="306"/>
      <c r="S44" s="306"/>
      <c r="T44" s="306"/>
    </row>
    <row r="45" spans="1:20" s="303" customFormat="1" ht="15" customHeight="1">
      <c r="A45" s="306"/>
      <c r="B45" s="306" t="s">
        <v>154</v>
      </c>
      <c r="C45" s="306"/>
      <c r="D45" s="306"/>
      <c r="E45" s="306"/>
      <c r="F45" s="306"/>
      <c r="G45" s="306"/>
      <c r="H45" s="306"/>
      <c r="I45" s="306"/>
      <c r="J45" s="306"/>
      <c r="K45" s="306"/>
      <c r="L45" s="306"/>
      <c r="M45" s="306"/>
      <c r="N45" s="306"/>
      <c r="O45" s="306"/>
      <c r="P45" s="306"/>
      <c r="Q45" s="306"/>
      <c r="R45" s="306"/>
      <c r="S45" s="306"/>
      <c r="T45" s="306"/>
    </row>
    <row r="46" spans="1:20" s="303" customFormat="1" ht="15" customHeight="1" thickBot="1">
      <c r="A46" s="306"/>
      <c r="B46" s="306"/>
      <c r="C46" s="312"/>
      <c r="D46" s="312"/>
      <c r="E46" s="306"/>
      <c r="F46" s="306"/>
      <c r="G46" s="306"/>
      <c r="H46" s="306"/>
      <c r="I46" s="306"/>
      <c r="J46" s="306"/>
      <c r="K46" s="306"/>
      <c r="L46" s="306"/>
      <c r="M46" s="306"/>
      <c r="N46" s="306"/>
      <c r="O46" s="306"/>
      <c r="P46" s="306"/>
      <c r="Q46" s="306"/>
      <c r="R46" s="306"/>
      <c r="S46" s="306"/>
      <c r="T46" s="306"/>
    </row>
    <row r="47" spans="1:20" s="303" customFormat="1" ht="15" customHeight="1">
      <c r="A47" s="306"/>
      <c r="B47" s="306"/>
      <c r="C47" s="313" t="s">
        <v>43</v>
      </c>
      <c r="D47" s="314" t="s">
        <v>9</v>
      </c>
      <c r="E47" s="306"/>
      <c r="F47" s="306"/>
      <c r="G47" s="306"/>
      <c r="H47" s="306"/>
      <c r="I47" s="306"/>
      <c r="J47" s="306"/>
      <c r="K47" s="306"/>
      <c r="L47" s="306"/>
      <c r="M47" s="306"/>
      <c r="N47" s="306"/>
      <c r="O47" s="306"/>
      <c r="P47" s="306"/>
      <c r="Q47" s="306"/>
      <c r="R47" s="306"/>
      <c r="S47" s="306"/>
      <c r="T47" s="306"/>
    </row>
    <row r="48" spans="1:20" s="303" customFormat="1" ht="15" customHeight="1">
      <c r="A48" s="306"/>
      <c r="B48" s="306"/>
      <c r="C48" s="313" t="s">
        <v>470</v>
      </c>
      <c r="D48" s="315" t="s">
        <v>9</v>
      </c>
      <c r="E48" s="306"/>
      <c r="F48" s="306"/>
      <c r="G48" s="306"/>
      <c r="H48" s="306"/>
      <c r="I48" s="306"/>
      <c r="J48" s="306"/>
      <c r="K48" s="306"/>
      <c r="L48" s="306"/>
      <c r="M48" s="306"/>
      <c r="N48" s="306"/>
      <c r="O48" s="306"/>
      <c r="P48" s="306"/>
      <c r="Q48" s="306"/>
      <c r="R48" s="306"/>
      <c r="S48" s="306"/>
      <c r="T48" s="306"/>
    </row>
    <row r="49" spans="1:20" s="303" customFormat="1" ht="15" customHeight="1">
      <c r="A49" s="306"/>
      <c r="B49" s="306"/>
      <c r="C49" s="313" t="s">
        <v>471</v>
      </c>
      <c r="D49" s="316" t="s">
        <v>9</v>
      </c>
      <c r="E49" s="306"/>
      <c r="F49" s="306"/>
      <c r="G49" s="306"/>
      <c r="H49" s="306"/>
      <c r="I49" s="306"/>
      <c r="J49" s="306"/>
      <c r="K49" s="306"/>
      <c r="L49" s="306"/>
      <c r="M49" s="306"/>
      <c r="N49" s="306"/>
      <c r="O49" s="306"/>
      <c r="P49" s="306"/>
      <c r="Q49" s="306"/>
      <c r="R49" s="306"/>
      <c r="S49" s="306"/>
      <c r="T49" s="306"/>
    </row>
    <row r="50" spans="1:20" s="303" customFormat="1" ht="15" customHeight="1">
      <c r="A50" s="306"/>
      <c r="B50" s="306"/>
      <c r="C50" s="317" t="s">
        <v>192</v>
      </c>
      <c r="D50" s="318" t="s">
        <v>9</v>
      </c>
      <c r="E50" s="306"/>
      <c r="F50" s="306"/>
      <c r="G50" s="306"/>
      <c r="H50" s="306"/>
      <c r="I50" s="306"/>
      <c r="J50" s="306"/>
      <c r="K50" s="306"/>
      <c r="L50" s="306"/>
      <c r="M50" s="306"/>
      <c r="N50" s="306"/>
      <c r="O50" s="306"/>
      <c r="P50" s="306"/>
      <c r="Q50" s="306"/>
      <c r="R50" s="306"/>
      <c r="S50" s="306"/>
      <c r="T50" s="306"/>
    </row>
    <row r="51" spans="1:20" s="303" customFormat="1" ht="15" customHeight="1" thickBot="1">
      <c r="A51" s="306"/>
      <c r="B51" s="306"/>
      <c r="C51" s="317" t="s">
        <v>193</v>
      </c>
      <c r="D51" s="319" t="s">
        <v>9</v>
      </c>
      <c r="E51" s="306"/>
      <c r="F51" s="306"/>
      <c r="G51" s="306"/>
      <c r="H51" s="306"/>
      <c r="I51" s="306"/>
      <c r="J51" s="306"/>
      <c r="K51" s="306"/>
      <c r="L51" s="306"/>
      <c r="M51" s="306"/>
      <c r="N51" s="306"/>
      <c r="O51" s="306"/>
      <c r="P51" s="306"/>
      <c r="Q51" s="306"/>
      <c r="R51" s="306"/>
      <c r="S51" s="306"/>
      <c r="T51" s="298"/>
    </row>
    <row r="52" spans="1:20" s="303" customFormat="1" ht="15" customHeight="1">
      <c r="A52" s="306"/>
      <c r="B52" s="306"/>
      <c r="C52" s="306"/>
      <c r="D52" s="306"/>
      <c r="E52" s="306"/>
      <c r="F52" s="306"/>
      <c r="G52" s="306"/>
      <c r="H52" s="306"/>
      <c r="I52" s="306"/>
      <c r="J52" s="306"/>
      <c r="K52" s="306"/>
      <c r="L52" s="306"/>
      <c r="M52" s="306"/>
      <c r="N52" s="306"/>
      <c r="O52" s="306"/>
      <c r="P52" s="306"/>
      <c r="Q52" s="306"/>
      <c r="R52" s="306"/>
      <c r="S52" s="306"/>
      <c r="T52" s="298"/>
    </row>
    <row r="53" spans="1:20" s="303" customFormat="1" ht="15" customHeight="1">
      <c r="A53" s="306"/>
      <c r="B53" s="306" t="s">
        <v>478</v>
      </c>
      <c r="C53" s="306"/>
      <c r="D53" s="306"/>
      <c r="E53" s="306"/>
      <c r="F53" s="306"/>
      <c r="G53" s="306"/>
      <c r="H53" s="306"/>
      <c r="I53" s="306"/>
      <c r="J53" s="306"/>
      <c r="K53" s="306"/>
      <c r="L53" s="306"/>
      <c r="M53" s="306"/>
      <c r="N53" s="306"/>
      <c r="O53" s="306"/>
      <c r="P53" s="306"/>
      <c r="Q53" s="306"/>
      <c r="R53" s="306"/>
      <c r="S53" s="306"/>
      <c r="T53" s="298"/>
    </row>
    <row r="54" spans="1:20" s="303" customFormat="1" ht="15" customHeight="1">
      <c r="A54" s="306"/>
      <c r="B54" s="306"/>
      <c r="C54" s="306"/>
      <c r="D54" s="320" t="s">
        <v>479</v>
      </c>
      <c r="E54" s="327" t="s">
        <v>480</v>
      </c>
      <c r="F54" s="306"/>
      <c r="G54" s="306"/>
      <c r="H54" s="306"/>
      <c r="I54" s="306"/>
      <c r="J54" s="306"/>
      <c r="K54" s="306"/>
      <c r="L54" s="306"/>
      <c r="M54" s="306"/>
      <c r="N54" s="306"/>
      <c r="O54" s="306"/>
      <c r="P54" s="306"/>
      <c r="Q54" s="306"/>
      <c r="R54" s="306"/>
      <c r="S54" s="306"/>
      <c r="T54" s="298"/>
    </row>
    <row r="55" spans="1:20" s="303" customFormat="1" ht="15" customHeight="1">
      <c r="A55" s="307"/>
      <c r="B55" s="307"/>
      <c r="C55" s="307"/>
      <c r="D55" s="307"/>
      <c r="E55" s="307"/>
      <c r="F55" s="307"/>
      <c r="G55" s="307"/>
      <c r="H55" s="307"/>
      <c r="I55" s="307"/>
      <c r="J55" s="307"/>
      <c r="K55" s="307"/>
      <c r="L55" s="307"/>
      <c r="M55" s="307"/>
      <c r="N55" s="307"/>
      <c r="O55" s="307"/>
      <c r="P55" s="307"/>
      <c r="Q55" s="307"/>
      <c r="R55" s="307"/>
      <c r="S55" s="307"/>
    </row>
    <row r="56" spans="1:20" s="303" customFormat="1" ht="15" customHeight="1"/>
    <row r="57" spans="1:20" s="303" customFormat="1" ht="15" customHeight="1"/>
    <row r="58" spans="1:20" ht="15" customHeight="1"/>
    <row r="59" spans="1:20" ht="15" customHeight="1"/>
    <row r="60" spans="1:20" ht="15" customHeight="1"/>
    <row r="61" spans="1:20" ht="15" customHeight="1"/>
    <row r="62" spans="1:20" ht="15" customHeight="1"/>
    <row r="63" spans="1:20" ht="15" customHeight="1"/>
    <row r="64" spans="1:20" ht="15" customHeight="1"/>
  </sheetData>
  <sheetProtection algorithmName="SHA-512" hashValue="eMQoiblBEsqR6d8fhoOjxg13sN0Cy3A3570yKije138aOi5dfrgQzoR/O2ItEDFs9ehoX5D0k1UoQOKVueSy6g==" saltValue="Y+tNrtFaXd9EQKgjPe0v/w==" spinCount="100000" sheet="1" objects="1" scenarios="1"/>
  <mergeCells count="29">
    <mergeCell ref="J13:M13"/>
    <mergeCell ref="B7:I7"/>
    <mergeCell ref="E43:I43"/>
    <mergeCell ref="A1:S3"/>
    <mergeCell ref="C12:D12"/>
    <mergeCell ref="A4:AE4"/>
    <mergeCell ref="C43:D43"/>
    <mergeCell ref="J20:M20"/>
    <mergeCell ref="J22:M22"/>
    <mergeCell ref="J23:M23"/>
    <mergeCell ref="J24:M24"/>
    <mergeCell ref="J25:M25"/>
    <mergeCell ref="J26:M26"/>
    <mergeCell ref="J27:M27"/>
    <mergeCell ref="J28:M28"/>
    <mergeCell ref="J21:M21"/>
    <mergeCell ref="J33:M33"/>
    <mergeCell ref="J39:M39"/>
    <mergeCell ref="J40:M40"/>
    <mergeCell ref="J34:M34"/>
    <mergeCell ref="J35:M35"/>
    <mergeCell ref="J36:M36"/>
    <mergeCell ref="J37:M37"/>
    <mergeCell ref="J38:M38"/>
    <mergeCell ref="J14:M14"/>
    <mergeCell ref="J29:M29"/>
    <mergeCell ref="J30:M30"/>
    <mergeCell ref="J31:M31"/>
    <mergeCell ref="J32:M32"/>
  </mergeCells>
  <phoneticPr fontId="21"/>
  <hyperlinks>
    <hyperlink ref="A5:R5" r:id="rId1" display="For any futher assistance on this tool, please post your question in the following forum Room - E2E Precision Data Converters Forum" xr:uid="{00000000-0004-0000-0100-000000000000}"/>
    <hyperlink ref="R5" location="'Table of Contents'!B17" display="Table of Contents" xr:uid="{00000000-0004-0000-0100-000001000000}"/>
    <hyperlink ref="E43" location="'Table of Contents'!A1" display="Table of Contents" xr:uid="{00000000-0004-0000-0100-000002000000}"/>
    <hyperlink ref="E43:I43" location="'Table of Contents'!B17" display="Table of Contents" xr:uid="{00000000-0004-0000-0100-000006000000}"/>
    <hyperlink ref="J23" r:id="rId2" xr:uid="{2B8BC6B6-6055-49A3-A430-9649A565B933}"/>
    <hyperlink ref="J22" r:id="rId3" xr:uid="{F179E4ED-E4E8-4B28-945E-3E161CEDE392}"/>
    <hyperlink ref="J25" r:id="rId4" xr:uid="{E3831485-4605-4C62-9803-42142A6DC97A}"/>
    <hyperlink ref="J26" r:id="rId5" xr:uid="{7A2F767A-CC07-4987-BEC4-04B99E23331D}"/>
    <hyperlink ref="J27" r:id="rId6" xr:uid="{56D89243-4E44-431E-8002-E06FA52D345E}"/>
    <hyperlink ref="J28" r:id="rId7" xr:uid="{5D1A1E98-9E6F-4872-8487-BA05A1804870}"/>
    <hyperlink ref="J29" r:id="rId8" xr:uid="{9E6AE82D-079F-41F9-A6B0-0A2C59D8B71C}"/>
    <hyperlink ref="J34" r:id="rId9" xr:uid="{B085DE2F-BF07-4245-B761-D5C5AFEDE34B}"/>
    <hyperlink ref="J35" r:id="rId10" xr:uid="{16C53D69-0DD0-4E7B-B792-64C6315B434A}"/>
    <hyperlink ref="J38" r:id="rId11" xr:uid="{738B20DA-2F1C-4F66-B85C-84E60809BF3A}"/>
    <hyperlink ref="J39" r:id="rId12" xr:uid="{918FC61D-F5D7-4ED6-8390-1AFACA716CA1}"/>
    <hyperlink ref="J36" r:id="rId13" xr:uid="{04C6C165-0960-4AEB-B593-37A064E5B81B}"/>
    <hyperlink ref="J32" r:id="rId14" xr:uid="{756219DA-8D8E-4B1F-B2B0-623D2205F5A2}"/>
    <hyperlink ref="J33" r:id="rId15" xr:uid="{CFD5460A-C72B-40A4-9252-616D3D9CAD5A}"/>
    <hyperlink ref="J37" r:id="rId16" xr:uid="{11AF003E-CBBA-467F-9FAE-0326C7D82B57}"/>
    <hyperlink ref="J20" r:id="rId17" xr:uid="{1FD97176-6DBB-4B8D-8B44-C0A8292AD9BD}"/>
    <hyperlink ref="J30" r:id="rId18" xr:uid="{ED1FD119-88F7-4DAA-9DF7-203B0DED71C2}"/>
    <hyperlink ref="J31" r:id="rId19" xr:uid="{1B25B45F-6ECD-4F9D-8D98-8B8F4EAAC502}"/>
    <hyperlink ref="J40" r:id="rId20" xr:uid="{3061A22B-93C5-4366-A3E3-81B86AA649C3}"/>
    <hyperlink ref="J21" r:id="rId21" xr:uid="{497BBBC2-2DF2-41B6-99D9-407234826580}"/>
    <hyperlink ref="E54" location="Directions!A1" display="Directions" xr:uid="{64E42F58-1263-43F6-B093-71B6F9785C0F}"/>
    <hyperlink ref="I9" r:id="rId22" xr:uid="{DAE2D16B-1F33-464B-A697-C2D2A4DEE057}"/>
    <hyperlink ref="J14" r:id="rId23" xr:uid="{9D7E03E1-708E-4A24-9EA5-FF547FFBE264}"/>
    <hyperlink ref="J15" r:id="rId24" xr:uid="{22CA0468-8AE3-4324-B34D-9238DF39D58A}"/>
    <hyperlink ref="J16" r:id="rId25" xr:uid="{F371D6E2-D415-4839-8650-A46DA684AB42}"/>
    <hyperlink ref="J17" r:id="rId26" xr:uid="{313B128D-083B-40D9-B55E-C6A1FD528364}"/>
    <hyperlink ref="J18" r:id="rId27" xr:uid="{B08DFB97-B46E-476A-AD62-852EEE2D1033}"/>
    <hyperlink ref="J19" r:id="rId28" xr:uid="{2541AF76-A5AA-4B8D-A82D-36049F163A33}"/>
  </hyperlinks>
  <pageMargins left="0.7" right="0.7" top="0.75" bottom="0.75" header="0.3" footer="0.3"/>
  <pageSetup orientation="portrait" r:id="rId29"/>
  <drawing r:id="rId3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F0468-54E3-4BDF-BD1A-338DC4A18109}">
  <dimension ref="A1:AS84"/>
  <sheetViews>
    <sheetView showGridLines="0" showRowColHeaders="0" zoomScaleNormal="100" workbookViewId="0">
      <selection activeCell="E44" sqref="E44:H45"/>
    </sheetView>
  </sheetViews>
  <sheetFormatPr defaultColWidth="8.7109375" defaultRowHeight="15"/>
  <cols>
    <col min="1" max="1" width="8.7109375" style="244"/>
    <col min="2" max="2" width="8.7109375" style="187"/>
    <col min="3" max="3" width="10.7109375" style="187" customWidth="1"/>
    <col min="4" max="4" width="13.28515625" style="187" customWidth="1"/>
    <col min="5" max="5" width="10.7109375" style="187" customWidth="1"/>
    <col min="6" max="7" width="8.7109375" style="187"/>
    <col min="8" max="8" width="23.28515625" style="187" customWidth="1"/>
    <col min="9" max="9" width="8.7109375" style="187"/>
    <col min="10" max="10" width="8.7109375" style="244"/>
    <col min="11" max="11" width="8.7109375" style="187"/>
    <col min="12" max="12" width="14.42578125" style="187" customWidth="1"/>
    <col min="13" max="15" width="8.7109375" style="187"/>
    <col min="16" max="16" width="14.42578125" style="187" customWidth="1"/>
    <col min="17" max="17" width="20.5703125" style="187" customWidth="1"/>
    <col min="18" max="16384" width="8.7109375" style="187"/>
  </cols>
  <sheetData>
    <row r="1" spans="1:31" ht="15" customHeight="1">
      <c r="A1" s="533"/>
      <c r="B1" s="533"/>
      <c r="C1" s="533"/>
      <c r="D1" s="533"/>
      <c r="E1" s="533"/>
      <c r="F1" s="533"/>
      <c r="G1" s="533"/>
      <c r="H1" s="533"/>
      <c r="I1" s="533"/>
      <c r="J1" s="533"/>
      <c r="K1" s="533"/>
      <c r="L1" s="533"/>
      <c r="M1" s="533"/>
      <c r="N1" s="533"/>
      <c r="O1" s="533"/>
      <c r="P1" s="533"/>
      <c r="Q1" s="533"/>
      <c r="R1" s="533"/>
      <c r="S1" s="533"/>
      <c r="T1" s="533"/>
      <c r="U1" s="533"/>
    </row>
    <row r="2" spans="1:31" ht="15" customHeight="1">
      <c r="A2" s="533"/>
      <c r="B2" s="533"/>
      <c r="C2" s="533"/>
      <c r="D2" s="533"/>
      <c r="E2" s="533"/>
      <c r="F2" s="533"/>
      <c r="G2" s="533"/>
      <c r="H2" s="533"/>
      <c r="I2" s="533"/>
      <c r="J2" s="533"/>
      <c r="K2" s="533"/>
      <c r="L2" s="533"/>
      <c r="M2" s="533"/>
      <c r="N2" s="533"/>
      <c r="O2" s="533"/>
      <c r="P2" s="533"/>
      <c r="Q2" s="533"/>
      <c r="R2" s="533"/>
      <c r="S2" s="533"/>
      <c r="T2" s="533"/>
      <c r="U2" s="533"/>
    </row>
    <row r="3" spans="1:31" ht="15" customHeight="1">
      <c r="A3" s="533"/>
      <c r="B3" s="533"/>
      <c r="C3" s="533"/>
      <c r="D3" s="533"/>
      <c r="E3" s="533"/>
      <c r="F3" s="533"/>
      <c r="G3" s="533"/>
      <c r="H3" s="533"/>
      <c r="I3" s="533"/>
      <c r="J3" s="533"/>
      <c r="K3" s="533"/>
      <c r="L3" s="533"/>
      <c r="M3" s="533"/>
      <c r="N3" s="533"/>
      <c r="O3" s="533"/>
      <c r="P3" s="533"/>
      <c r="Q3" s="533"/>
      <c r="R3" s="533"/>
      <c r="S3" s="533"/>
      <c r="T3" s="533"/>
      <c r="U3" s="533"/>
    </row>
    <row r="4" spans="1:31" ht="15" customHeight="1">
      <c r="A4" s="534"/>
      <c r="B4" s="534"/>
      <c r="C4" s="534"/>
      <c r="D4" s="534"/>
      <c r="E4" s="534"/>
      <c r="F4" s="534"/>
      <c r="G4" s="534"/>
      <c r="H4" s="534"/>
      <c r="I4" s="534"/>
      <c r="J4" s="534"/>
      <c r="K4" s="534"/>
      <c r="L4" s="534"/>
      <c r="M4" s="534"/>
      <c r="N4" s="534"/>
      <c r="O4" s="534"/>
      <c r="P4" s="534"/>
      <c r="Q4" s="534"/>
      <c r="R4" s="534"/>
      <c r="S4" s="534"/>
      <c r="T4" s="534"/>
      <c r="U4" s="534"/>
      <c r="V4" s="534"/>
      <c r="W4" s="534"/>
      <c r="X4" s="534"/>
      <c r="Y4" s="534"/>
      <c r="Z4" s="534"/>
      <c r="AA4" s="534"/>
      <c r="AB4" s="534"/>
      <c r="AC4" s="534"/>
      <c r="AD4" s="534"/>
      <c r="AE4" s="534"/>
    </row>
    <row r="5" spans="1:31" ht="15" customHeight="1">
      <c r="A5" s="188"/>
      <c r="B5" s="189"/>
      <c r="C5" s="189"/>
      <c r="D5" s="189"/>
      <c r="E5" s="189"/>
      <c r="F5" s="189"/>
      <c r="G5" s="189"/>
      <c r="H5" s="189"/>
      <c r="I5" s="189"/>
      <c r="J5" s="188"/>
      <c r="K5" s="189"/>
      <c r="L5" s="189"/>
      <c r="M5" s="189"/>
      <c r="N5" s="189"/>
      <c r="O5" s="189"/>
      <c r="P5" s="189"/>
      <c r="Q5" s="189"/>
      <c r="R5" s="189"/>
      <c r="S5" s="189"/>
      <c r="T5" s="189"/>
      <c r="U5" s="189"/>
      <c r="V5" s="189"/>
    </row>
    <row r="6" spans="1:31" ht="15" customHeight="1">
      <c r="A6" s="188"/>
      <c r="B6" s="190" t="s">
        <v>481</v>
      </c>
      <c r="C6" s="191"/>
      <c r="D6" s="191"/>
      <c r="E6" s="191"/>
      <c r="F6" s="189"/>
      <c r="G6" s="189"/>
      <c r="H6" s="189"/>
      <c r="I6" s="189"/>
      <c r="J6" s="188"/>
      <c r="K6" s="587" t="s">
        <v>8</v>
      </c>
      <c r="L6" s="587"/>
      <c r="M6" s="189"/>
      <c r="N6" s="189"/>
      <c r="O6" s="189"/>
      <c r="P6" s="189"/>
      <c r="Q6" s="189"/>
      <c r="R6" s="189"/>
      <c r="S6" s="189"/>
      <c r="T6" s="189"/>
      <c r="U6" s="189"/>
      <c r="V6" s="189"/>
    </row>
    <row r="7" spans="1:31" ht="15" customHeight="1">
      <c r="A7" s="188"/>
      <c r="B7" s="192"/>
      <c r="C7" s="192"/>
      <c r="D7" s="192"/>
      <c r="E7" s="193"/>
      <c r="F7" s="192"/>
      <c r="G7" s="192"/>
      <c r="H7" s="192"/>
      <c r="I7" s="192"/>
      <c r="J7" s="194"/>
      <c r="K7" s="192"/>
      <c r="L7" s="192"/>
      <c r="M7" s="192"/>
      <c r="N7" s="192"/>
      <c r="O7" s="192"/>
      <c r="P7" s="192"/>
      <c r="Q7" s="192"/>
      <c r="S7" s="189"/>
      <c r="T7" s="189"/>
      <c r="U7" s="189"/>
      <c r="V7" s="189"/>
    </row>
    <row r="8" spans="1:31" ht="15" customHeight="1">
      <c r="A8" s="188" t="s">
        <v>393</v>
      </c>
      <c r="B8" s="195" t="s">
        <v>18</v>
      </c>
      <c r="C8" s="193"/>
      <c r="D8" s="193"/>
      <c r="E8" s="193"/>
      <c r="F8" s="196"/>
      <c r="G8" s="193"/>
      <c r="H8" s="193"/>
      <c r="I8" s="193"/>
      <c r="J8" s="197" t="s">
        <v>439</v>
      </c>
      <c r="K8" s="195" t="s">
        <v>0</v>
      </c>
      <c r="L8" s="193"/>
      <c r="M8" s="193"/>
      <c r="N8" s="193"/>
      <c r="O8" s="193"/>
      <c r="P8" s="193"/>
      <c r="Q8" s="193"/>
      <c r="S8" s="189"/>
      <c r="T8" s="189"/>
      <c r="U8" s="189"/>
      <c r="V8" s="189"/>
    </row>
    <row r="9" spans="1:31" ht="15" customHeight="1">
      <c r="A9" s="188"/>
      <c r="B9" s="198" t="s">
        <v>53</v>
      </c>
      <c r="C9" s="199"/>
      <c r="D9" s="200"/>
      <c r="E9" s="201" t="s">
        <v>394</v>
      </c>
      <c r="F9" s="202"/>
      <c r="G9" s="202"/>
      <c r="H9" s="203"/>
      <c r="I9" s="204"/>
      <c r="J9" s="194"/>
      <c r="K9" s="558" t="s">
        <v>185</v>
      </c>
      <c r="L9" s="559"/>
      <c r="M9" s="562" t="s">
        <v>395</v>
      </c>
      <c r="N9" s="562"/>
      <c r="O9" s="562"/>
      <c r="P9" s="563"/>
      <c r="Q9" s="584" t="s">
        <v>396</v>
      </c>
      <c r="R9" s="205"/>
      <c r="S9" s="189"/>
      <c r="T9" s="189"/>
      <c r="U9" s="189"/>
      <c r="V9" s="189"/>
    </row>
    <row r="10" spans="1:31" ht="15" customHeight="1">
      <c r="A10" s="188"/>
      <c r="B10" s="206" t="s">
        <v>54</v>
      </c>
      <c r="C10" s="207"/>
      <c r="D10" s="208"/>
      <c r="E10" s="209" t="s">
        <v>397</v>
      </c>
      <c r="F10" s="210"/>
      <c r="G10" s="210"/>
      <c r="H10" s="211"/>
      <c r="I10" s="210"/>
      <c r="J10" s="194"/>
      <c r="K10" s="560"/>
      <c r="L10" s="561"/>
      <c r="M10" s="564"/>
      <c r="N10" s="564"/>
      <c r="O10" s="564"/>
      <c r="P10" s="565"/>
      <c r="Q10" s="585"/>
      <c r="R10" s="205"/>
      <c r="S10" s="189"/>
      <c r="T10" s="189"/>
      <c r="U10" s="189"/>
      <c r="V10" s="189"/>
    </row>
    <row r="11" spans="1:31" ht="15" customHeight="1">
      <c r="A11" s="188"/>
      <c r="B11" s="212" t="s">
        <v>87</v>
      </c>
      <c r="C11" s="199"/>
      <c r="D11" s="200"/>
      <c r="E11" s="201" t="s">
        <v>451</v>
      </c>
      <c r="F11" s="202"/>
      <c r="G11" s="202"/>
      <c r="H11" s="203"/>
      <c r="I11" s="204"/>
      <c r="J11" s="194"/>
      <c r="K11" s="213" t="s">
        <v>186</v>
      </c>
      <c r="L11" s="214"/>
      <c r="M11" s="215" t="s">
        <v>398</v>
      </c>
      <c r="N11" s="216"/>
      <c r="O11" s="217"/>
      <c r="P11" s="218"/>
      <c r="Q11" s="585"/>
      <c r="R11" s="205"/>
      <c r="S11" s="189"/>
      <c r="T11" s="189"/>
      <c r="U11" s="189"/>
      <c r="V11" s="189"/>
    </row>
    <row r="12" spans="1:31" ht="15" customHeight="1">
      <c r="A12" s="188"/>
      <c r="B12" s="219" t="s">
        <v>452</v>
      </c>
      <c r="C12" s="220"/>
      <c r="D12" s="221"/>
      <c r="E12" s="201" t="s">
        <v>453</v>
      </c>
      <c r="F12" s="222"/>
      <c r="G12" s="222"/>
      <c r="H12" s="223"/>
      <c r="I12" s="210"/>
      <c r="J12" s="194"/>
      <c r="K12" s="291" t="s">
        <v>187</v>
      </c>
      <c r="L12" s="292"/>
      <c r="M12" s="572" t="s">
        <v>399</v>
      </c>
      <c r="N12" s="562"/>
      <c r="O12" s="562"/>
      <c r="P12" s="563"/>
      <c r="Q12" s="585"/>
      <c r="R12" s="205"/>
      <c r="S12" s="189"/>
      <c r="T12" s="189"/>
      <c r="U12" s="189"/>
      <c r="V12" s="189"/>
    </row>
    <row r="13" spans="1:31" ht="15" customHeight="1">
      <c r="A13" s="188"/>
      <c r="B13" s="224" t="s">
        <v>115</v>
      </c>
      <c r="C13" s="207"/>
      <c r="D13" s="208"/>
      <c r="E13" s="209" t="s">
        <v>454</v>
      </c>
      <c r="F13" s="210"/>
      <c r="G13" s="210"/>
      <c r="H13" s="211"/>
      <c r="I13" s="210"/>
      <c r="J13" s="194"/>
      <c r="K13" s="213" t="s">
        <v>188</v>
      </c>
      <c r="L13" s="214"/>
      <c r="M13" s="215" t="s">
        <v>404</v>
      </c>
      <c r="N13" s="216"/>
      <c r="O13" s="217"/>
      <c r="P13" s="218"/>
      <c r="Q13" s="585"/>
      <c r="R13" s="205"/>
      <c r="S13" s="189"/>
      <c r="T13" s="189"/>
      <c r="U13" s="189"/>
      <c r="V13" s="189"/>
    </row>
    <row r="14" spans="1:31" ht="15" customHeight="1">
      <c r="A14" s="188"/>
      <c r="B14" s="225" t="s">
        <v>196</v>
      </c>
      <c r="C14" s="199"/>
      <c r="D14" s="200"/>
      <c r="E14" s="201" t="s">
        <v>405</v>
      </c>
      <c r="F14" s="202"/>
      <c r="G14" s="189"/>
      <c r="H14" s="203"/>
      <c r="I14" s="204"/>
      <c r="J14" s="194"/>
      <c r="K14" s="558" t="s">
        <v>1</v>
      </c>
      <c r="L14" s="559"/>
      <c r="M14" s="575" t="s">
        <v>406</v>
      </c>
      <c r="N14" s="576"/>
      <c r="O14" s="576"/>
      <c r="P14" s="577"/>
      <c r="Q14" s="585"/>
      <c r="R14" s="205"/>
      <c r="S14" s="189"/>
      <c r="T14" s="189"/>
      <c r="U14" s="189"/>
      <c r="V14" s="189"/>
    </row>
    <row r="15" spans="1:31" ht="15" customHeight="1">
      <c r="A15" s="188"/>
      <c r="B15" s="226" t="s">
        <v>197</v>
      </c>
      <c r="C15" s="227"/>
      <c r="D15" s="228"/>
      <c r="E15" s="229" t="s">
        <v>407</v>
      </c>
      <c r="F15" s="230"/>
      <c r="G15" s="189"/>
      <c r="H15" s="211"/>
      <c r="I15" s="210"/>
      <c r="J15" s="194"/>
      <c r="K15" s="573"/>
      <c r="L15" s="574"/>
      <c r="M15" s="578"/>
      <c r="N15" s="579"/>
      <c r="O15" s="579"/>
      <c r="P15" s="580"/>
      <c r="Q15" s="585"/>
      <c r="R15" s="205"/>
      <c r="S15" s="189"/>
      <c r="T15" s="189"/>
      <c r="U15" s="189"/>
      <c r="V15" s="189"/>
    </row>
    <row r="16" spans="1:31" ht="15" customHeight="1">
      <c r="A16" s="188"/>
      <c r="B16" s="225" t="s">
        <v>400</v>
      </c>
      <c r="C16" s="199"/>
      <c r="D16" s="200"/>
      <c r="E16" s="201" t="s">
        <v>401</v>
      </c>
      <c r="F16" s="202"/>
      <c r="G16" s="202"/>
      <c r="H16" s="203"/>
      <c r="I16" s="204"/>
      <c r="J16" s="194"/>
      <c r="K16" s="560"/>
      <c r="L16" s="561"/>
      <c r="M16" s="581"/>
      <c r="N16" s="582"/>
      <c r="O16" s="582"/>
      <c r="P16" s="583"/>
      <c r="Q16" s="585"/>
      <c r="R16" s="205"/>
      <c r="S16" s="189"/>
      <c r="T16" s="189"/>
      <c r="U16" s="189"/>
      <c r="V16" s="189"/>
    </row>
    <row r="17" spans="1:22" ht="15" customHeight="1">
      <c r="A17" s="188"/>
      <c r="B17" s="231" t="s">
        <v>402</v>
      </c>
      <c r="C17" s="220"/>
      <c r="D17" s="221"/>
      <c r="E17" s="201" t="s">
        <v>403</v>
      </c>
      <c r="F17" s="222"/>
      <c r="G17" s="232"/>
      <c r="H17" s="233"/>
      <c r="I17" s="193"/>
      <c r="J17" s="197"/>
      <c r="K17" s="213" t="s">
        <v>2</v>
      </c>
      <c r="L17" s="214"/>
      <c r="M17" s="215" t="s">
        <v>410</v>
      </c>
      <c r="N17" s="216"/>
      <c r="O17" s="217"/>
      <c r="P17" s="218"/>
      <c r="Q17" s="585"/>
      <c r="R17" s="205"/>
      <c r="S17" s="189"/>
      <c r="T17" s="189"/>
      <c r="U17" s="189"/>
      <c r="V17" s="189"/>
    </row>
    <row r="18" spans="1:22" ht="15" customHeight="1">
      <c r="A18" s="188"/>
      <c r="B18" s="196"/>
      <c r="C18" s="234"/>
      <c r="D18" s="234"/>
      <c r="E18" s="235"/>
      <c r="F18" s="235"/>
      <c r="G18" s="235"/>
      <c r="H18" s="193"/>
      <c r="I18" s="236"/>
      <c r="J18" s="237"/>
      <c r="K18" s="293" t="s">
        <v>189</v>
      </c>
      <c r="L18" s="294"/>
      <c r="M18" s="569" t="s">
        <v>117</v>
      </c>
      <c r="N18" s="570"/>
      <c r="O18" s="570"/>
      <c r="P18" s="571"/>
      <c r="Q18" s="586"/>
      <c r="R18" s="205"/>
      <c r="S18" s="238"/>
      <c r="T18" s="238"/>
      <c r="U18" s="238"/>
      <c r="V18" s="189"/>
    </row>
    <row r="19" spans="1:22" ht="15" customHeight="1">
      <c r="A19" s="188" t="s">
        <v>408</v>
      </c>
      <c r="B19" s="239" t="s">
        <v>409</v>
      </c>
      <c r="C19" s="239"/>
      <c r="D19" s="239"/>
      <c r="E19" s="240"/>
      <c r="F19" s="240"/>
      <c r="G19" s="240"/>
      <c r="H19" s="210"/>
      <c r="I19" s="210"/>
      <c r="J19" s="194"/>
      <c r="Q19" s="205"/>
      <c r="R19" s="205"/>
      <c r="S19" s="205"/>
      <c r="T19" s="193"/>
      <c r="U19" s="189"/>
      <c r="V19" s="189"/>
    </row>
    <row r="20" spans="1:22" ht="15" customHeight="1">
      <c r="A20" s="188"/>
      <c r="B20" s="566" t="s">
        <v>124</v>
      </c>
      <c r="C20" s="567"/>
      <c r="D20" s="568"/>
      <c r="E20" s="566" t="s">
        <v>455</v>
      </c>
      <c r="F20" s="567"/>
      <c r="G20" s="567"/>
      <c r="H20" s="568"/>
      <c r="I20" s="204"/>
      <c r="J20" s="188" t="s">
        <v>420</v>
      </c>
      <c r="K20" s="241" t="s">
        <v>413</v>
      </c>
      <c r="L20" s="189"/>
      <c r="M20" s="189"/>
      <c r="N20" s="189"/>
      <c r="O20" s="189"/>
      <c r="P20" s="189"/>
      <c r="Q20" s="189"/>
      <c r="R20" s="189"/>
      <c r="S20" s="189"/>
      <c r="T20" s="189"/>
      <c r="U20" s="189"/>
      <c r="V20" s="189"/>
    </row>
    <row r="21" spans="1:22" ht="15" customHeight="1">
      <c r="A21" s="188"/>
      <c r="B21" s="293" t="s">
        <v>125</v>
      </c>
      <c r="C21" s="242"/>
      <c r="D21" s="294"/>
      <c r="E21" s="566" t="s">
        <v>456</v>
      </c>
      <c r="F21" s="567"/>
      <c r="G21" s="567"/>
      <c r="H21" s="568"/>
      <c r="I21" s="243"/>
      <c r="K21" s="572" t="s">
        <v>368</v>
      </c>
      <c r="L21" s="563"/>
      <c r="M21" s="572" t="s">
        <v>414</v>
      </c>
      <c r="N21" s="562"/>
      <c r="O21" s="562"/>
      <c r="P21" s="563"/>
      <c r="Q21" s="588" t="s">
        <v>415</v>
      </c>
      <c r="R21" s="245"/>
      <c r="S21" s="189"/>
      <c r="T21" s="189"/>
      <c r="U21" s="189"/>
      <c r="V21" s="189"/>
    </row>
    <row r="22" spans="1:22" ht="15" customHeight="1">
      <c r="A22" s="188"/>
      <c r="B22" s="295" t="s">
        <v>194</v>
      </c>
      <c r="C22" s="246"/>
      <c r="D22" s="247"/>
      <c r="E22" s="591" t="s">
        <v>457</v>
      </c>
      <c r="F22" s="592"/>
      <c r="G22" s="592"/>
      <c r="H22" s="593"/>
      <c r="J22" s="188"/>
      <c r="K22" s="594"/>
      <c r="L22" s="565"/>
      <c r="M22" s="594"/>
      <c r="N22" s="564"/>
      <c r="O22" s="564"/>
      <c r="P22" s="565"/>
      <c r="Q22" s="589"/>
      <c r="R22" s="245"/>
      <c r="S22" s="189"/>
      <c r="T22" s="189"/>
      <c r="U22" s="189"/>
      <c r="V22" s="189"/>
    </row>
    <row r="23" spans="1:22" ht="15" customHeight="1">
      <c r="A23" s="188"/>
      <c r="B23" s="213" t="s">
        <v>195</v>
      </c>
      <c r="C23" s="248"/>
      <c r="D23" s="249"/>
      <c r="E23" s="591" t="s">
        <v>457</v>
      </c>
      <c r="F23" s="592"/>
      <c r="G23" s="592"/>
      <c r="H23" s="593"/>
      <c r="J23" s="188"/>
      <c r="K23" s="575" t="s">
        <v>416</v>
      </c>
      <c r="L23" s="577"/>
      <c r="M23" s="575" t="s">
        <v>417</v>
      </c>
      <c r="N23" s="576"/>
      <c r="O23" s="576"/>
      <c r="P23" s="577"/>
      <c r="Q23" s="589"/>
      <c r="R23" s="245"/>
      <c r="S23" s="189"/>
      <c r="T23" s="189"/>
      <c r="U23" s="189"/>
      <c r="V23" s="189"/>
    </row>
    <row r="24" spans="1:22" ht="15" customHeight="1">
      <c r="A24" s="188"/>
      <c r="B24" s="295" t="s">
        <v>198</v>
      </c>
      <c r="C24" s="246"/>
      <c r="D24" s="247"/>
      <c r="E24" s="591" t="s">
        <v>411</v>
      </c>
      <c r="F24" s="592"/>
      <c r="G24" s="592"/>
      <c r="H24" s="593"/>
      <c r="J24" s="188"/>
      <c r="K24" s="581"/>
      <c r="L24" s="583"/>
      <c r="M24" s="581"/>
      <c r="N24" s="582"/>
      <c r="O24" s="582"/>
      <c r="P24" s="583"/>
      <c r="Q24" s="589"/>
      <c r="R24" s="245"/>
      <c r="S24" s="189"/>
      <c r="T24" s="189"/>
      <c r="U24" s="189"/>
      <c r="V24" s="189"/>
    </row>
    <row r="25" spans="1:22" ht="15" customHeight="1">
      <c r="A25" s="188"/>
      <c r="B25" s="616" t="s">
        <v>38</v>
      </c>
      <c r="C25" s="617"/>
      <c r="D25" s="618"/>
      <c r="E25" s="575" t="s">
        <v>458</v>
      </c>
      <c r="F25" s="576"/>
      <c r="G25" s="576"/>
      <c r="H25" s="577"/>
      <c r="J25" s="188"/>
      <c r="K25" s="575" t="s">
        <v>370</v>
      </c>
      <c r="L25" s="576"/>
      <c r="M25" s="575" t="s">
        <v>418</v>
      </c>
      <c r="N25" s="576"/>
      <c r="O25" s="576"/>
      <c r="P25" s="577"/>
      <c r="Q25" s="589"/>
      <c r="R25" s="245"/>
      <c r="S25" s="189"/>
      <c r="T25" s="189"/>
      <c r="U25" s="189"/>
      <c r="V25" s="189"/>
    </row>
    <row r="26" spans="1:22" ht="15" customHeight="1">
      <c r="A26" s="188"/>
      <c r="B26" s="619"/>
      <c r="C26" s="620"/>
      <c r="D26" s="621"/>
      <c r="E26" s="581"/>
      <c r="F26" s="582"/>
      <c r="G26" s="582"/>
      <c r="H26" s="583"/>
      <c r="J26" s="188"/>
      <c r="K26" s="578"/>
      <c r="L26" s="579"/>
      <c r="M26" s="578"/>
      <c r="N26" s="579"/>
      <c r="O26" s="579"/>
      <c r="P26" s="580"/>
      <c r="Q26" s="589"/>
      <c r="R26" s="245"/>
      <c r="S26" s="189"/>
      <c r="T26" s="189"/>
      <c r="U26" s="189"/>
      <c r="V26" s="189"/>
    </row>
    <row r="27" spans="1:22" ht="15" customHeight="1">
      <c r="A27" s="188"/>
      <c r="B27" s="616" t="s">
        <v>201</v>
      </c>
      <c r="C27" s="617"/>
      <c r="D27" s="618"/>
      <c r="E27" s="575" t="s">
        <v>459</v>
      </c>
      <c r="F27" s="576"/>
      <c r="G27" s="576"/>
      <c r="H27" s="577"/>
      <c r="J27" s="188"/>
      <c r="K27" s="581"/>
      <c r="L27" s="582"/>
      <c r="M27" s="581"/>
      <c r="N27" s="582"/>
      <c r="O27" s="582"/>
      <c r="P27" s="583"/>
      <c r="Q27" s="589"/>
      <c r="R27" s="245"/>
      <c r="S27" s="189"/>
      <c r="T27" s="189"/>
      <c r="U27" s="189"/>
      <c r="V27" s="189"/>
    </row>
    <row r="28" spans="1:22" ht="15" customHeight="1">
      <c r="A28" s="188"/>
      <c r="B28" s="619"/>
      <c r="C28" s="620"/>
      <c r="D28" s="621"/>
      <c r="E28" s="581"/>
      <c r="F28" s="582"/>
      <c r="G28" s="582"/>
      <c r="H28" s="583"/>
      <c r="I28" s="189"/>
      <c r="J28" s="188"/>
      <c r="K28" s="575" t="s">
        <v>371</v>
      </c>
      <c r="L28" s="577"/>
      <c r="M28" s="575" t="s">
        <v>419</v>
      </c>
      <c r="N28" s="576"/>
      <c r="O28" s="576"/>
      <c r="P28" s="577"/>
      <c r="Q28" s="589"/>
      <c r="R28" s="245"/>
      <c r="S28" s="189"/>
      <c r="T28" s="189"/>
      <c r="U28" s="189"/>
      <c r="V28" s="189"/>
    </row>
    <row r="29" spans="1:22" ht="15" customHeight="1">
      <c r="A29" s="188"/>
      <c r="B29" s="616" t="s">
        <v>202</v>
      </c>
      <c r="C29" s="617"/>
      <c r="D29" s="618"/>
      <c r="E29" s="575" t="s">
        <v>460</v>
      </c>
      <c r="F29" s="576"/>
      <c r="G29" s="576"/>
      <c r="H29" s="577"/>
      <c r="I29" s="189"/>
      <c r="K29" s="578"/>
      <c r="L29" s="580"/>
      <c r="M29" s="578"/>
      <c r="N29" s="579"/>
      <c r="O29" s="579"/>
      <c r="P29" s="580"/>
      <c r="Q29" s="589"/>
      <c r="S29" s="189"/>
      <c r="T29" s="189"/>
      <c r="U29" s="189"/>
      <c r="V29" s="189"/>
    </row>
    <row r="30" spans="1:22" ht="15" customHeight="1">
      <c r="A30" s="188"/>
      <c r="B30" s="619"/>
      <c r="C30" s="620"/>
      <c r="D30" s="621"/>
      <c r="E30" s="581"/>
      <c r="F30" s="582"/>
      <c r="G30" s="582"/>
      <c r="H30" s="583"/>
      <c r="I30" s="189"/>
      <c r="K30" s="581"/>
      <c r="L30" s="583"/>
      <c r="M30" s="581"/>
      <c r="N30" s="582"/>
      <c r="O30" s="582"/>
      <c r="P30" s="583"/>
      <c r="Q30" s="590"/>
      <c r="S30" s="189"/>
      <c r="T30" s="189"/>
      <c r="U30" s="189"/>
      <c r="V30" s="189"/>
    </row>
    <row r="31" spans="1:22" ht="15" customHeight="1">
      <c r="A31" s="188"/>
      <c r="B31" s="616" t="s">
        <v>107</v>
      </c>
      <c r="C31" s="617"/>
      <c r="D31" s="618"/>
      <c r="E31" s="575" t="s">
        <v>461</v>
      </c>
      <c r="F31" s="576"/>
      <c r="G31" s="576"/>
      <c r="H31" s="577"/>
      <c r="I31" s="189"/>
      <c r="J31" s="188"/>
      <c r="K31" s="286"/>
      <c r="L31" s="286"/>
      <c r="M31" s="250"/>
      <c r="N31" s="250"/>
      <c r="O31" s="250"/>
      <c r="P31" s="250"/>
      <c r="Q31" s="245"/>
      <c r="R31" s="245"/>
      <c r="S31" s="189"/>
      <c r="T31" s="189"/>
      <c r="U31" s="189"/>
      <c r="V31" s="189"/>
    </row>
    <row r="32" spans="1:22" ht="15" customHeight="1">
      <c r="A32" s="188"/>
      <c r="B32" s="619"/>
      <c r="C32" s="620"/>
      <c r="D32" s="621"/>
      <c r="E32" s="581"/>
      <c r="F32" s="582"/>
      <c r="G32" s="582"/>
      <c r="H32" s="583"/>
      <c r="I32" s="189"/>
      <c r="J32" s="188"/>
      <c r="K32" s="189"/>
      <c r="L32" s="189"/>
      <c r="M32" s="189"/>
      <c r="N32" s="189"/>
      <c r="O32" s="189"/>
      <c r="P32" s="189"/>
      <c r="Q32" s="189"/>
      <c r="R32" s="189"/>
      <c r="S32" s="189"/>
      <c r="T32" s="189"/>
      <c r="U32" s="189"/>
      <c r="V32" s="189"/>
    </row>
    <row r="33" spans="1:45" ht="15" customHeight="1">
      <c r="A33" s="188"/>
      <c r="B33" s="616" t="s">
        <v>104</v>
      </c>
      <c r="C33" s="617"/>
      <c r="D33" s="618"/>
      <c r="E33" s="575" t="s">
        <v>462</v>
      </c>
      <c r="F33" s="576"/>
      <c r="G33" s="576"/>
      <c r="H33" s="577"/>
      <c r="I33" s="189"/>
      <c r="J33" s="188"/>
      <c r="Q33" s="189"/>
      <c r="R33" s="189"/>
      <c r="S33" s="189"/>
      <c r="T33" s="189"/>
      <c r="U33" s="189"/>
      <c r="V33" s="189"/>
    </row>
    <row r="34" spans="1:45" ht="15" customHeight="1">
      <c r="A34" s="188"/>
      <c r="B34" s="619"/>
      <c r="C34" s="620"/>
      <c r="D34" s="621"/>
      <c r="E34" s="581"/>
      <c r="F34" s="582"/>
      <c r="G34" s="582"/>
      <c r="H34" s="583"/>
      <c r="I34" s="189"/>
      <c r="J34" s="188"/>
      <c r="Q34" s="189"/>
      <c r="R34" s="189"/>
      <c r="S34" s="189"/>
      <c r="T34" s="189"/>
      <c r="U34" s="189"/>
      <c r="V34" s="189"/>
    </row>
    <row r="35" spans="1:45" ht="15" customHeight="1">
      <c r="A35" s="188"/>
      <c r="B35" s="293" t="s">
        <v>362</v>
      </c>
      <c r="C35" s="251"/>
      <c r="D35" s="252"/>
      <c r="E35" s="591" t="s">
        <v>463</v>
      </c>
      <c r="F35" s="592"/>
      <c r="G35" s="592"/>
      <c r="H35" s="593"/>
      <c r="I35" s="189"/>
      <c r="J35" s="188"/>
      <c r="Q35" s="189"/>
      <c r="R35" s="189"/>
      <c r="S35" s="189"/>
      <c r="T35" s="189"/>
      <c r="U35" s="189"/>
      <c r="V35" s="189"/>
    </row>
    <row r="36" spans="1:45" ht="15" customHeight="1">
      <c r="A36" s="253"/>
      <c r="B36" s="254"/>
      <c r="C36" s="255"/>
      <c r="D36" s="255"/>
      <c r="E36" s="255"/>
      <c r="F36" s="255"/>
      <c r="G36" s="255"/>
      <c r="H36" s="255"/>
      <c r="I36" s="254"/>
      <c r="J36" s="253"/>
      <c r="K36" s="254"/>
      <c r="L36" s="254"/>
      <c r="M36" s="254"/>
      <c r="N36" s="254"/>
      <c r="O36" s="254"/>
      <c r="P36" s="254"/>
      <c r="Q36" s="254"/>
      <c r="R36" s="254"/>
      <c r="S36" s="254"/>
      <c r="T36" s="254"/>
      <c r="U36" s="254"/>
      <c r="V36" s="254"/>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row>
    <row r="37" spans="1:45" ht="15" customHeight="1">
      <c r="A37" s="188"/>
      <c r="B37" s="189"/>
      <c r="I37" s="189"/>
      <c r="J37" s="188"/>
      <c r="K37" s="189"/>
      <c r="L37" s="189"/>
      <c r="M37" s="189"/>
      <c r="N37" s="189"/>
      <c r="O37" s="189"/>
      <c r="P37" s="189"/>
      <c r="Q37" s="189"/>
      <c r="R37" s="189"/>
      <c r="S37" s="189"/>
      <c r="T37" s="189"/>
      <c r="U37" s="189"/>
      <c r="V37" s="189"/>
    </row>
    <row r="38" spans="1:45" ht="15" customHeight="1">
      <c r="A38" s="188"/>
      <c r="B38" s="190" t="s">
        <v>421</v>
      </c>
      <c r="I38" s="189"/>
      <c r="J38" s="188"/>
      <c r="K38" s="189"/>
      <c r="L38" s="189"/>
      <c r="M38" s="189"/>
      <c r="N38" s="189"/>
      <c r="O38" s="189"/>
      <c r="P38" s="189"/>
      <c r="Q38" s="189"/>
      <c r="R38" s="189"/>
      <c r="S38" s="189"/>
      <c r="T38" s="189"/>
      <c r="U38" s="189"/>
      <c r="V38" s="189"/>
    </row>
    <row r="39" spans="1:45" ht="15" customHeight="1">
      <c r="A39" s="188"/>
      <c r="B39" s="189"/>
      <c r="C39" s="189"/>
      <c r="D39" s="189"/>
      <c r="E39" s="189"/>
      <c r="F39" s="189"/>
      <c r="G39" s="189"/>
      <c r="H39" s="189"/>
      <c r="I39" s="189"/>
      <c r="J39" s="188"/>
      <c r="K39" s="189"/>
      <c r="L39" s="189"/>
      <c r="M39" s="189"/>
      <c r="N39" s="189"/>
      <c r="O39" s="189"/>
      <c r="P39" s="189"/>
      <c r="Q39" s="189"/>
      <c r="R39" s="189"/>
      <c r="S39" s="189"/>
      <c r="T39" s="189"/>
      <c r="U39" s="189"/>
      <c r="V39" s="189"/>
    </row>
    <row r="40" spans="1:45" ht="15" customHeight="1">
      <c r="A40" s="188" t="s">
        <v>393</v>
      </c>
      <c r="B40" s="195" t="s">
        <v>18</v>
      </c>
      <c r="C40" s="189"/>
      <c r="D40" s="189"/>
      <c r="E40" s="189"/>
      <c r="F40" s="189"/>
      <c r="G40" s="189"/>
      <c r="H40" s="189"/>
      <c r="I40" s="189"/>
      <c r="J40" s="188" t="s">
        <v>420</v>
      </c>
      <c r="K40" s="256" t="s">
        <v>442</v>
      </c>
      <c r="L40" s="189"/>
      <c r="M40" s="189"/>
      <c r="N40" s="189"/>
      <c r="O40" s="189"/>
      <c r="P40" s="189"/>
      <c r="Q40" s="189"/>
      <c r="R40" s="189"/>
      <c r="S40" s="189"/>
      <c r="T40" s="189"/>
      <c r="U40" s="189"/>
      <c r="V40" s="189"/>
    </row>
    <row r="41" spans="1:45" ht="15" customHeight="1">
      <c r="A41" s="188"/>
      <c r="B41" s="575" t="s">
        <v>475</v>
      </c>
      <c r="C41" s="576"/>
      <c r="D41" s="577"/>
      <c r="E41" s="595" t="s">
        <v>473</v>
      </c>
      <c r="F41" s="596"/>
      <c r="G41" s="596"/>
      <c r="H41" s="597"/>
      <c r="I41" s="257"/>
      <c r="J41" s="188"/>
      <c r="K41" s="258" t="s">
        <v>110</v>
      </c>
      <c r="L41" s="259"/>
      <c r="M41" s="259"/>
      <c r="N41" s="260" t="s">
        <v>443</v>
      </c>
      <c r="O41" s="259"/>
      <c r="P41" s="259"/>
      <c r="Q41" s="261"/>
      <c r="R41" s="189"/>
      <c r="S41" s="189"/>
      <c r="T41" s="189"/>
      <c r="U41" s="189"/>
      <c r="V41" s="189"/>
    </row>
    <row r="42" spans="1:45" ht="15" customHeight="1">
      <c r="A42" s="188"/>
      <c r="B42" s="578"/>
      <c r="C42" s="579"/>
      <c r="D42" s="580"/>
      <c r="E42" s="598"/>
      <c r="F42" s="599"/>
      <c r="G42" s="599"/>
      <c r="H42" s="600"/>
      <c r="I42" s="257"/>
      <c r="J42" s="188"/>
      <c r="K42" s="262" t="s">
        <v>276</v>
      </c>
      <c r="L42" s="263"/>
      <c r="M42" s="263"/>
      <c r="N42" s="264" t="s">
        <v>444</v>
      </c>
      <c r="O42" s="263"/>
      <c r="P42" s="263"/>
      <c r="Q42" s="265"/>
      <c r="R42" s="189"/>
      <c r="S42" s="189"/>
      <c r="T42" s="189"/>
      <c r="U42" s="189"/>
      <c r="V42" s="189"/>
    </row>
    <row r="43" spans="1:45" ht="15" customHeight="1">
      <c r="A43" s="188"/>
      <c r="B43" s="581"/>
      <c r="C43" s="582"/>
      <c r="D43" s="583"/>
      <c r="E43" s="601"/>
      <c r="F43" s="602"/>
      <c r="G43" s="602"/>
      <c r="H43" s="603"/>
      <c r="I43" s="257"/>
      <c r="J43" s="188"/>
      <c r="K43" s="258" t="s">
        <v>445</v>
      </c>
      <c r="L43" s="259"/>
      <c r="M43" s="259"/>
      <c r="N43" s="260" t="s">
        <v>446</v>
      </c>
      <c r="O43" s="259"/>
      <c r="P43" s="259"/>
      <c r="Q43" s="261"/>
      <c r="R43" s="189"/>
      <c r="S43" s="189"/>
      <c r="T43" s="189"/>
      <c r="U43" s="189"/>
      <c r="V43" s="189"/>
    </row>
    <row r="44" spans="1:45" ht="15" customHeight="1">
      <c r="A44" s="188"/>
      <c r="B44" s="575" t="s">
        <v>476</v>
      </c>
      <c r="C44" s="576"/>
      <c r="D44" s="577"/>
      <c r="E44" s="575" t="s">
        <v>477</v>
      </c>
      <c r="F44" s="576"/>
      <c r="G44" s="576"/>
      <c r="H44" s="577"/>
      <c r="I44" s="257"/>
      <c r="J44" s="188"/>
      <c r="K44" s="610" t="s">
        <v>185</v>
      </c>
      <c r="L44" s="611"/>
      <c r="M44" s="612"/>
      <c r="N44" s="604" t="s">
        <v>447</v>
      </c>
      <c r="O44" s="605"/>
      <c r="P44" s="605"/>
      <c r="Q44" s="606"/>
      <c r="R44" s="189"/>
      <c r="S44" s="189"/>
      <c r="T44" s="189"/>
      <c r="U44" s="189"/>
      <c r="V44" s="189"/>
    </row>
    <row r="45" spans="1:45" ht="15" customHeight="1">
      <c r="A45" s="188"/>
      <c r="B45" s="581"/>
      <c r="C45" s="582"/>
      <c r="D45" s="583"/>
      <c r="E45" s="581"/>
      <c r="F45" s="582"/>
      <c r="G45" s="582"/>
      <c r="H45" s="583"/>
      <c r="I45" s="189"/>
      <c r="J45" s="188"/>
      <c r="K45" s="613"/>
      <c r="L45" s="614"/>
      <c r="M45" s="615"/>
      <c r="N45" s="607"/>
      <c r="O45" s="608"/>
      <c r="P45" s="608"/>
      <c r="Q45" s="609"/>
      <c r="S45" s="189"/>
      <c r="T45" s="189"/>
      <c r="U45" s="189"/>
      <c r="V45" s="189"/>
    </row>
    <row r="46" spans="1:45" ht="15" customHeight="1">
      <c r="A46" s="188"/>
      <c r="B46" s="575" t="s">
        <v>275</v>
      </c>
      <c r="C46" s="576"/>
      <c r="D46" s="577"/>
      <c r="E46" s="575" t="s">
        <v>424</v>
      </c>
      <c r="F46" s="576"/>
      <c r="G46" s="576"/>
      <c r="H46" s="577"/>
      <c r="I46" s="189"/>
      <c r="J46" s="188"/>
      <c r="K46" s="258" t="s">
        <v>186</v>
      </c>
      <c r="L46" s="259"/>
      <c r="M46" s="259"/>
      <c r="N46" s="260" t="s">
        <v>448</v>
      </c>
      <c r="O46" s="259"/>
      <c r="P46" s="259"/>
      <c r="Q46" s="261"/>
      <c r="R46" s="189"/>
      <c r="S46" s="189"/>
      <c r="T46" s="189"/>
      <c r="U46" s="189"/>
      <c r="V46" s="189"/>
    </row>
    <row r="47" spans="1:45" ht="15" customHeight="1">
      <c r="A47" s="188"/>
      <c r="B47" s="581"/>
      <c r="C47" s="582"/>
      <c r="D47" s="583"/>
      <c r="E47" s="581"/>
      <c r="F47" s="582"/>
      <c r="G47" s="582"/>
      <c r="H47" s="583"/>
      <c r="I47" s="189"/>
      <c r="J47" s="188"/>
      <c r="K47" s="262" t="s">
        <v>187</v>
      </c>
      <c r="L47" s="263"/>
      <c r="M47" s="263"/>
      <c r="N47" s="264" t="s">
        <v>449</v>
      </c>
      <c r="O47" s="263"/>
      <c r="P47" s="263"/>
      <c r="Q47" s="265"/>
      <c r="R47" s="189"/>
      <c r="S47" s="189"/>
      <c r="T47" s="189"/>
      <c r="U47" s="189"/>
      <c r="V47" s="189"/>
    </row>
    <row r="48" spans="1:45" ht="15" customHeight="1">
      <c r="A48" s="188"/>
      <c r="B48" s="575" t="s">
        <v>277</v>
      </c>
      <c r="C48" s="576"/>
      <c r="D48" s="577"/>
      <c r="E48" s="575" t="s">
        <v>427</v>
      </c>
      <c r="F48" s="576"/>
      <c r="G48" s="576"/>
      <c r="H48" s="577"/>
      <c r="I48" s="189"/>
      <c r="J48" s="188"/>
      <c r="K48" s="258" t="s">
        <v>188</v>
      </c>
      <c r="L48" s="259"/>
      <c r="M48" s="259"/>
      <c r="N48" s="260" t="s">
        <v>450</v>
      </c>
      <c r="O48" s="266"/>
      <c r="P48" s="266"/>
      <c r="Q48" s="267"/>
      <c r="R48" s="189"/>
      <c r="S48" s="189"/>
      <c r="T48" s="189"/>
      <c r="U48" s="189"/>
      <c r="V48" s="189"/>
    </row>
    <row r="49" spans="1:22" ht="15" customHeight="1">
      <c r="A49" s="188"/>
      <c r="B49" s="581"/>
      <c r="C49" s="582"/>
      <c r="D49" s="583"/>
      <c r="E49" s="581"/>
      <c r="F49" s="582"/>
      <c r="G49" s="582"/>
      <c r="H49" s="583"/>
      <c r="I49" s="189"/>
      <c r="J49" s="187"/>
      <c r="R49" s="189"/>
      <c r="S49" s="189"/>
      <c r="T49" s="189"/>
      <c r="U49" s="189"/>
      <c r="V49" s="189"/>
    </row>
    <row r="50" spans="1:22" ht="15" customHeight="1">
      <c r="A50" s="188"/>
      <c r="B50" s="569" t="s">
        <v>278</v>
      </c>
      <c r="C50" s="570"/>
      <c r="D50" s="571"/>
      <c r="E50" s="569" t="s">
        <v>429</v>
      </c>
      <c r="F50" s="570"/>
      <c r="G50" s="570"/>
      <c r="H50" s="571"/>
      <c r="I50" s="189"/>
      <c r="J50" s="188" t="s">
        <v>422</v>
      </c>
      <c r="K50" s="256" t="s">
        <v>468</v>
      </c>
      <c r="L50" s="189"/>
      <c r="M50" s="189"/>
      <c r="R50" s="189"/>
      <c r="S50" s="189"/>
      <c r="T50" s="189"/>
      <c r="U50" s="189"/>
      <c r="V50" s="189"/>
    </row>
    <row r="51" spans="1:22" ht="15" customHeight="1">
      <c r="A51" s="188"/>
      <c r="B51" s="569" t="s">
        <v>472</v>
      </c>
      <c r="C51" s="570"/>
      <c r="D51" s="571"/>
      <c r="E51" s="569" t="s">
        <v>474</v>
      </c>
      <c r="F51" s="570"/>
      <c r="G51" s="570"/>
      <c r="H51" s="571"/>
      <c r="I51" s="189"/>
      <c r="J51" s="188"/>
      <c r="K51" s="268" t="s">
        <v>423</v>
      </c>
      <c r="L51" s="189"/>
      <c r="M51" s="189"/>
      <c r="N51" s="189"/>
      <c r="R51" s="189"/>
      <c r="S51" s="189"/>
      <c r="T51" s="189"/>
      <c r="U51" s="189"/>
      <c r="V51" s="189"/>
    </row>
    <row r="52" spans="1:22" ht="15" customHeight="1">
      <c r="A52" s="188"/>
      <c r="B52" s="285" t="s">
        <v>280</v>
      </c>
      <c r="C52" s="286"/>
      <c r="D52" s="287"/>
      <c r="E52" s="581" t="s">
        <v>430</v>
      </c>
      <c r="F52" s="582"/>
      <c r="G52" s="582"/>
      <c r="H52" s="583"/>
      <c r="I52" s="189"/>
      <c r="R52" s="189"/>
      <c r="S52" s="189"/>
      <c r="T52" s="189"/>
      <c r="U52" s="189"/>
      <c r="V52" s="189"/>
    </row>
    <row r="53" spans="1:22" ht="15" customHeight="1">
      <c r="A53" s="188"/>
      <c r="B53" s="288" t="s">
        <v>281</v>
      </c>
      <c r="C53" s="289"/>
      <c r="D53" s="290"/>
      <c r="E53" s="569" t="s">
        <v>432</v>
      </c>
      <c r="F53" s="570"/>
      <c r="G53" s="570"/>
      <c r="H53" s="571"/>
      <c r="I53" s="189"/>
      <c r="J53" s="188" t="s">
        <v>412</v>
      </c>
      <c r="K53" s="256" t="s">
        <v>425</v>
      </c>
      <c r="L53" s="189"/>
      <c r="M53" s="189"/>
      <c r="N53" s="189"/>
      <c r="O53" s="189"/>
      <c r="P53" s="189"/>
      <c r="Q53" s="189"/>
      <c r="R53" s="189"/>
      <c r="S53" s="189"/>
      <c r="T53" s="189"/>
      <c r="U53" s="189"/>
      <c r="V53" s="189"/>
    </row>
    <row r="54" spans="1:22" ht="15" customHeight="1">
      <c r="A54" s="188"/>
      <c r="I54" s="189"/>
      <c r="J54" s="188"/>
      <c r="K54" s="269" t="s">
        <v>426</v>
      </c>
      <c r="R54" s="189"/>
      <c r="S54" s="189"/>
      <c r="T54" s="189"/>
      <c r="U54" s="189"/>
      <c r="V54" s="189"/>
    </row>
    <row r="55" spans="1:22" ht="15" customHeight="1">
      <c r="A55" s="188" t="s">
        <v>408</v>
      </c>
      <c r="B55" s="270" t="s">
        <v>435</v>
      </c>
      <c r="C55" s="189"/>
      <c r="D55" s="189"/>
      <c r="E55" s="189"/>
      <c r="F55" s="189"/>
      <c r="G55" s="189"/>
      <c r="H55" s="189"/>
      <c r="I55" s="189"/>
      <c r="J55" s="188"/>
      <c r="K55" s="271" t="s">
        <v>428</v>
      </c>
      <c r="L55" s="272"/>
      <c r="M55" s="272"/>
      <c r="N55" s="272"/>
      <c r="O55" s="272"/>
      <c r="P55" s="272"/>
      <c r="Q55" s="273"/>
      <c r="R55" s="189"/>
      <c r="S55" s="189"/>
      <c r="T55" s="189"/>
      <c r="U55" s="189"/>
      <c r="V55" s="189"/>
    </row>
    <row r="56" spans="1:22" ht="15" customHeight="1">
      <c r="A56" s="188"/>
      <c r="B56" s="268" t="s">
        <v>423</v>
      </c>
      <c r="C56" s="189"/>
      <c r="D56" s="189"/>
      <c r="E56" s="189"/>
      <c r="F56" s="189"/>
      <c r="G56" s="189"/>
      <c r="H56" s="189"/>
      <c r="I56" s="189"/>
      <c r="J56" s="188"/>
      <c r="K56" s="215" t="s">
        <v>390</v>
      </c>
      <c r="L56" s="274"/>
      <c r="M56" s="275" t="s">
        <v>431</v>
      </c>
      <c r="N56" s="276"/>
      <c r="O56" s="232"/>
      <c r="P56" s="232"/>
      <c r="Q56" s="233"/>
      <c r="R56" s="189"/>
      <c r="S56" s="189"/>
      <c r="T56" s="189"/>
      <c r="U56" s="189"/>
      <c r="V56" s="189"/>
    </row>
    <row r="57" spans="1:22">
      <c r="A57" s="188"/>
      <c r="B57" s="189"/>
      <c r="C57" s="189"/>
      <c r="D57" s="189"/>
      <c r="E57" s="189"/>
      <c r="F57" s="189"/>
      <c r="G57" s="189"/>
      <c r="H57" s="189"/>
      <c r="I57" s="189"/>
      <c r="J57" s="188"/>
      <c r="K57" s="277" t="s">
        <v>282</v>
      </c>
      <c r="L57" s="277"/>
      <c r="M57" s="235" t="s">
        <v>433</v>
      </c>
      <c r="N57" s="235"/>
      <c r="O57" s="193"/>
      <c r="P57" s="193"/>
      <c r="Q57" s="278"/>
      <c r="R57" s="189"/>
      <c r="S57" s="189"/>
      <c r="T57" s="189"/>
      <c r="U57" s="189"/>
      <c r="V57" s="189"/>
    </row>
    <row r="58" spans="1:22">
      <c r="A58" s="188" t="s">
        <v>439</v>
      </c>
      <c r="B58" s="256" t="s">
        <v>464</v>
      </c>
      <c r="C58" s="189"/>
      <c r="D58" s="189"/>
      <c r="E58" s="189"/>
      <c r="F58" s="189"/>
      <c r="G58" s="189"/>
      <c r="H58" s="189"/>
      <c r="I58" s="189"/>
      <c r="J58" s="188"/>
      <c r="K58" s="279" t="s">
        <v>391</v>
      </c>
      <c r="L58" s="279"/>
      <c r="M58" s="275" t="s">
        <v>434</v>
      </c>
      <c r="N58" s="276"/>
      <c r="O58" s="232"/>
      <c r="P58" s="232"/>
      <c r="Q58" s="233"/>
      <c r="R58" s="189"/>
      <c r="S58" s="189"/>
      <c r="T58" s="189"/>
      <c r="U58" s="189"/>
      <c r="V58" s="189"/>
    </row>
    <row r="59" spans="1:22">
      <c r="A59" s="188"/>
      <c r="B59" s="291" t="s">
        <v>465</v>
      </c>
      <c r="C59" s="283"/>
      <c r="D59" s="283"/>
      <c r="E59" s="282" t="s">
        <v>466</v>
      </c>
      <c r="F59" s="283"/>
      <c r="G59" s="283"/>
      <c r="H59" s="284"/>
      <c r="I59" s="189"/>
      <c r="J59" s="188"/>
      <c r="K59" s="279" t="s">
        <v>392</v>
      </c>
      <c r="L59" s="279"/>
      <c r="M59" s="193" t="s">
        <v>436</v>
      </c>
      <c r="N59" s="235"/>
      <c r="O59" s="193"/>
      <c r="P59" s="193"/>
      <c r="Q59" s="278"/>
      <c r="R59" s="189"/>
      <c r="S59" s="189"/>
      <c r="T59" s="189"/>
      <c r="U59" s="189"/>
      <c r="V59" s="189"/>
    </row>
    <row r="60" spans="1:22">
      <c r="A60" s="188"/>
      <c r="B60" s="213" t="s">
        <v>290</v>
      </c>
      <c r="C60" s="280"/>
      <c r="D60" s="280"/>
      <c r="E60" s="258" t="s">
        <v>467</v>
      </c>
      <c r="F60" s="280"/>
      <c r="G60" s="280"/>
      <c r="H60" s="281"/>
      <c r="I60" s="189"/>
      <c r="J60" s="188"/>
      <c r="K60" s="279" t="s">
        <v>437</v>
      </c>
      <c r="L60" s="279"/>
      <c r="M60" s="275" t="s">
        <v>438</v>
      </c>
      <c r="N60" s="276"/>
      <c r="O60" s="232"/>
      <c r="P60" s="232"/>
      <c r="Q60" s="233"/>
      <c r="R60" s="189"/>
      <c r="S60" s="189"/>
      <c r="T60" s="189"/>
      <c r="U60" s="189"/>
      <c r="V60" s="189"/>
    </row>
    <row r="61" spans="1:22">
      <c r="A61" s="188"/>
      <c r="B61" s="258" t="s">
        <v>295</v>
      </c>
      <c r="C61" s="280"/>
      <c r="D61" s="281"/>
      <c r="E61" s="259" t="s">
        <v>440</v>
      </c>
      <c r="F61" s="259"/>
      <c r="G61" s="259"/>
      <c r="H61" s="261"/>
      <c r="I61" s="189"/>
      <c r="J61" s="187"/>
      <c r="R61" s="189"/>
      <c r="S61" s="189"/>
      <c r="T61" s="189"/>
      <c r="U61" s="189"/>
      <c r="V61" s="189"/>
    </row>
    <row r="62" spans="1:22" ht="14.45" customHeight="1">
      <c r="A62" s="188"/>
      <c r="B62" s="610" t="s">
        <v>296</v>
      </c>
      <c r="C62" s="611"/>
      <c r="D62" s="612"/>
      <c r="E62" s="604" t="s">
        <v>441</v>
      </c>
      <c r="F62" s="605"/>
      <c r="G62" s="605"/>
      <c r="H62" s="606"/>
      <c r="I62" s="189"/>
      <c r="J62" s="187"/>
      <c r="R62" s="189"/>
      <c r="S62" s="189"/>
      <c r="T62" s="189"/>
      <c r="U62" s="189"/>
      <c r="V62" s="189"/>
    </row>
    <row r="63" spans="1:22">
      <c r="A63" s="188"/>
      <c r="B63" s="613"/>
      <c r="C63" s="614"/>
      <c r="D63" s="615"/>
      <c r="E63" s="607"/>
      <c r="F63" s="608"/>
      <c r="G63" s="608"/>
      <c r="H63" s="609"/>
      <c r="I63" s="189"/>
      <c r="J63" s="187"/>
      <c r="R63" s="189"/>
      <c r="S63" s="189"/>
      <c r="T63" s="189"/>
      <c r="U63" s="189"/>
      <c r="V63" s="189"/>
    </row>
    <row r="64" spans="1:22">
      <c r="A64" s="188"/>
      <c r="B64" s="189"/>
      <c r="C64" s="189"/>
      <c r="D64" s="189"/>
      <c r="E64" s="189"/>
      <c r="F64" s="189"/>
      <c r="G64" s="189"/>
      <c r="H64" s="189"/>
      <c r="I64" s="189"/>
      <c r="J64" s="188"/>
      <c r="R64" s="189"/>
      <c r="S64" s="189"/>
      <c r="T64" s="189"/>
      <c r="U64" s="189"/>
      <c r="V64" s="189"/>
    </row>
    <row r="65" spans="1:22">
      <c r="A65" s="187"/>
      <c r="I65" s="189"/>
      <c r="J65" s="188"/>
      <c r="R65" s="189"/>
      <c r="S65" s="189"/>
      <c r="T65" s="189"/>
      <c r="U65" s="189"/>
      <c r="V65" s="189"/>
    </row>
    <row r="66" spans="1:22">
      <c r="A66" s="187"/>
      <c r="I66" s="189"/>
      <c r="J66" s="188"/>
      <c r="K66" s="189"/>
      <c r="L66" s="189"/>
      <c r="M66" s="189"/>
      <c r="N66" s="189"/>
      <c r="O66" s="189"/>
      <c r="P66" s="189"/>
      <c r="Q66" s="189"/>
      <c r="R66" s="189"/>
      <c r="S66" s="189"/>
      <c r="T66" s="189"/>
      <c r="U66" s="189"/>
      <c r="V66" s="189"/>
    </row>
    <row r="67" spans="1:22">
      <c r="A67" s="187"/>
      <c r="I67" s="189"/>
      <c r="J67" s="188"/>
      <c r="K67" s="189"/>
      <c r="L67" s="189"/>
      <c r="M67" s="189"/>
      <c r="N67" s="189"/>
      <c r="O67" s="189"/>
      <c r="P67" s="189"/>
      <c r="Q67" s="189"/>
      <c r="R67" s="189"/>
      <c r="S67" s="189"/>
      <c r="T67" s="189"/>
      <c r="U67" s="189"/>
      <c r="V67" s="189"/>
    </row>
    <row r="68" spans="1:22">
      <c r="A68" s="187"/>
      <c r="I68" s="189"/>
      <c r="J68" s="188"/>
      <c r="K68" s="189"/>
      <c r="L68" s="189"/>
      <c r="M68" s="189"/>
      <c r="N68" s="189"/>
      <c r="O68" s="189"/>
      <c r="P68" s="189"/>
      <c r="Q68" s="189"/>
      <c r="R68" s="189"/>
      <c r="S68" s="189"/>
      <c r="T68" s="189"/>
      <c r="U68" s="189"/>
      <c r="V68" s="189"/>
    </row>
    <row r="69" spans="1:22">
      <c r="A69" s="187"/>
      <c r="I69" s="189"/>
      <c r="J69" s="188"/>
      <c r="K69" s="189"/>
      <c r="L69" s="189"/>
      <c r="M69" s="189"/>
      <c r="N69" s="189"/>
      <c r="O69" s="189"/>
      <c r="P69" s="189"/>
      <c r="Q69" s="189"/>
      <c r="R69" s="189"/>
      <c r="S69" s="189"/>
      <c r="T69" s="189"/>
      <c r="U69" s="189"/>
      <c r="V69" s="189"/>
    </row>
    <row r="70" spans="1:22" ht="14.45" customHeight="1">
      <c r="A70" s="187"/>
      <c r="I70" s="189"/>
      <c r="J70" s="188"/>
      <c r="K70" s="189"/>
      <c r="L70" s="189"/>
      <c r="M70" s="189"/>
      <c r="N70" s="189"/>
      <c r="O70" s="189"/>
      <c r="P70" s="189"/>
      <c r="Q70" s="189"/>
      <c r="R70" s="189"/>
      <c r="S70" s="189"/>
      <c r="T70" s="189"/>
      <c r="U70" s="189"/>
      <c r="V70" s="189"/>
    </row>
    <row r="71" spans="1:22">
      <c r="A71" s="187"/>
      <c r="I71" s="189"/>
      <c r="J71" s="188"/>
      <c r="K71" s="189"/>
      <c r="L71" s="189"/>
      <c r="M71" s="189"/>
      <c r="N71" s="189"/>
      <c r="O71" s="189"/>
      <c r="P71" s="189"/>
      <c r="Q71" s="189"/>
      <c r="R71" s="189"/>
      <c r="S71" s="189"/>
      <c r="T71" s="189"/>
      <c r="U71" s="189"/>
      <c r="V71" s="189"/>
    </row>
    <row r="72" spans="1:22">
      <c r="A72" s="187"/>
      <c r="I72" s="189"/>
      <c r="J72" s="188"/>
      <c r="K72" s="189"/>
      <c r="L72" s="189"/>
      <c r="M72" s="189"/>
      <c r="N72" s="189"/>
      <c r="O72" s="189"/>
      <c r="P72" s="189"/>
      <c r="Q72" s="189"/>
      <c r="R72" s="189"/>
      <c r="S72" s="189"/>
      <c r="T72" s="189"/>
      <c r="U72" s="189"/>
      <c r="V72" s="189"/>
    </row>
    <row r="73" spans="1:22" ht="14.45" customHeight="1">
      <c r="A73" s="187"/>
      <c r="I73" s="189"/>
      <c r="J73" s="188"/>
      <c r="K73" s="189"/>
      <c r="L73" s="189"/>
      <c r="M73" s="189"/>
      <c r="N73" s="189"/>
      <c r="O73" s="189"/>
      <c r="P73" s="189"/>
      <c r="Q73" s="189"/>
      <c r="R73" s="189"/>
      <c r="S73" s="189"/>
      <c r="T73" s="189"/>
      <c r="U73" s="189"/>
      <c r="V73" s="189"/>
    </row>
    <row r="74" spans="1:22">
      <c r="A74" s="188"/>
      <c r="B74" s="193"/>
      <c r="C74" s="193"/>
      <c r="D74" s="193"/>
      <c r="E74" s="193"/>
      <c r="F74" s="193"/>
      <c r="G74" s="193"/>
      <c r="H74" s="193"/>
      <c r="I74" s="189"/>
      <c r="J74" s="188"/>
      <c r="K74" s="189"/>
      <c r="L74" s="189"/>
      <c r="M74" s="189"/>
      <c r="N74" s="189"/>
      <c r="O74" s="189"/>
      <c r="P74" s="189"/>
      <c r="Q74" s="189"/>
      <c r="R74" s="189"/>
      <c r="S74" s="189"/>
      <c r="T74" s="189"/>
      <c r="U74" s="189"/>
      <c r="V74" s="189"/>
    </row>
    <row r="75" spans="1:22">
      <c r="F75" s="189"/>
      <c r="G75" s="189"/>
      <c r="H75" s="189"/>
      <c r="I75" s="189"/>
      <c r="J75" s="188"/>
      <c r="K75" s="189"/>
      <c r="L75" s="189"/>
      <c r="M75" s="189"/>
      <c r="N75" s="189"/>
      <c r="O75" s="189"/>
      <c r="P75" s="189"/>
      <c r="Q75" s="189"/>
      <c r="R75" s="189"/>
      <c r="S75" s="189"/>
      <c r="T75" s="189"/>
      <c r="U75" s="189"/>
      <c r="V75" s="189"/>
    </row>
    <row r="76" spans="1:22">
      <c r="F76" s="189"/>
      <c r="G76" s="189"/>
      <c r="H76" s="189"/>
      <c r="I76" s="189"/>
      <c r="J76" s="188"/>
      <c r="K76" s="189"/>
      <c r="L76" s="189"/>
      <c r="M76" s="189"/>
      <c r="N76" s="189"/>
      <c r="O76" s="189"/>
      <c r="P76" s="189"/>
      <c r="Q76" s="189"/>
      <c r="R76" s="189"/>
      <c r="S76" s="189"/>
      <c r="T76" s="189"/>
      <c r="U76" s="189"/>
      <c r="V76" s="189"/>
    </row>
    <row r="77" spans="1:22">
      <c r="A77" s="188"/>
      <c r="B77" s="189"/>
      <c r="C77" s="189"/>
      <c r="D77" s="189"/>
      <c r="E77" s="189"/>
      <c r="F77" s="189"/>
      <c r="G77" s="189"/>
      <c r="H77" s="189"/>
      <c r="I77" s="189"/>
      <c r="J77" s="188"/>
      <c r="K77" s="189"/>
      <c r="L77" s="189"/>
      <c r="M77" s="189"/>
      <c r="N77" s="189"/>
      <c r="O77" s="189"/>
      <c r="P77" s="189"/>
      <c r="Q77" s="189"/>
      <c r="R77" s="189"/>
      <c r="S77" s="189"/>
      <c r="T77" s="189"/>
      <c r="U77" s="189"/>
      <c r="V77" s="189"/>
    </row>
    <row r="78" spans="1:22">
      <c r="A78" s="188"/>
      <c r="B78" s="189"/>
      <c r="C78" s="189"/>
      <c r="D78" s="189"/>
      <c r="E78" s="189"/>
      <c r="F78" s="189"/>
      <c r="G78" s="189"/>
      <c r="H78" s="189"/>
      <c r="I78" s="189"/>
      <c r="J78" s="188"/>
      <c r="K78" s="189"/>
      <c r="L78" s="189"/>
      <c r="M78" s="189"/>
      <c r="N78" s="189"/>
      <c r="O78" s="189"/>
      <c r="P78" s="189"/>
      <c r="Q78" s="189"/>
      <c r="R78" s="189"/>
      <c r="S78" s="189"/>
      <c r="T78" s="189"/>
      <c r="U78" s="189"/>
      <c r="V78" s="189"/>
    </row>
    <row r="79" spans="1:22">
      <c r="A79" s="188"/>
      <c r="B79" s="189"/>
      <c r="C79" s="189"/>
      <c r="D79" s="189"/>
      <c r="E79" s="189"/>
      <c r="F79" s="189"/>
      <c r="G79" s="189"/>
      <c r="H79" s="189"/>
      <c r="I79" s="189"/>
      <c r="J79" s="188"/>
      <c r="K79" s="189"/>
      <c r="L79" s="189"/>
      <c r="M79" s="189"/>
      <c r="N79" s="189"/>
      <c r="O79" s="189"/>
      <c r="P79" s="189"/>
      <c r="Q79" s="189"/>
      <c r="R79" s="189"/>
      <c r="S79" s="189"/>
      <c r="T79" s="189"/>
      <c r="U79" s="189"/>
      <c r="V79" s="189"/>
    </row>
    <row r="80" spans="1:22">
      <c r="A80" s="188"/>
      <c r="B80" s="189"/>
      <c r="C80" s="189"/>
      <c r="D80" s="189"/>
      <c r="E80" s="189"/>
      <c r="F80" s="189"/>
      <c r="G80" s="189"/>
      <c r="H80" s="189"/>
      <c r="I80" s="189"/>
      <c r="J80" s="188"/>
      <c r="K80" s="189"/>
      <c r="L80" s="189"/>
      <c r="M80" s="189"/>
      <c r="N80" s="189"/>
      <c r="O80" s="189"/>
      <c r="P80" s="189"/>
      <c r="Q80" s="189"/>
      <c r="R80" s="189"/>
      <c r="S80" s="189"/>
      <c r="T80" s="189"/>
      <c r="U80" s="189"/>
      <c r="V80" s="189"/>
    </row>
    <row r="81" spans="1:22">
      <c r="A81" s="188"/>
      <c r="B81" s="189"/>
      <c r="C81" s="189"/>
      <c r="D81" s="189"/>
      <c r="E81" s="189"/>
      <c r="F81" s="189"/>
      <c r="G81" s="189"/>
      <c r="H81" s="189"/>
      <c r="I81" s="189"/>
      <c r="J81" s="188"/>
      <c r="K81" s="189"/>
      <c r="L81" s="189"/>
      <c r="M81" s="189"/>
      <c r="N81" s="189"/>
      <c r="O81" s="189"/>
      <c r="P81" s="189"/>
      <c r="Q81" s="189"/>
      <c r="R81" s="189"/>
      <c r="S81" s="189"/>
      <c r="T81" s="189"/>
      <c r="U81" s="189"/>
      <c r="V81" s="189"/>
    </row>
    <row r="82" spans="1:22">
      <c r="A82" s="188"/>
      <c r="B82" s="189"/>
      <c r="C82" s="189"/>
      <c r="D82" s="189"/>
      <c r="E82" s="189"/>
      <c r="F82" s="189"/>
      <c r="G82" s="189"/>
      <c r="H82" s="189"/>
      <c r="I82" s="189"/>
      <c r="J82" s="188"/>
      <c r="K82" s="189"/>
      <c r="L82" s="189"/>
      <c r="M82" s="189"/>
      <c r="N82" s="189"/>
      <c r="O82" s="189"/>
      <c r="P82" s="189"/>
      <c r="Q82" s="189"/>
      <c r="R82" s="189"/>
      <c r="S82" s="189"/>
      <c r="T82" s="189"/>
      <c r="U82" s="189"/>
      <c r="V82" s="189"/>
    </row>
    <row r="83" spans="1:22">
      <c r="A83" s="188"/>
      <c r="B83" s="189"/>
      <c r="C83" s="189"/>
      <c r="D83" s="189"/>
      <c r="E83" s="189"/>
      <c r="F83" s="189"/>
      <c r="G83" s="189"/>
      <c r="H83" s="189"/>
      <c r="I83" s="189"/>
      <c r="J83" s="188"/>
      <c r="K83" s="189"/>
      <c r="L83" s="189"/>
      <c r="M83" s="189"/>
      <c r="N83" s="189"/>
      <c r="O83" s="189"/>
      <c r="P83" s="189"/>
      <c r="Q83" s="189"/>
      <c r="R83" s="189"/>
      <c r="S83" s="189"/>
      <c r="T83" s="189"/>
      <c r="U83" s="189"/>
      <c r="V83" s="189"/>
    </row>
    <row r="84" spans="1:22">
      <c r="A84" s="188"/>
      <c r="B84" s="189"/>
      <c r="C84" s="189"/>
      <c r="D84" s="189"/>
      <c r="E84" s="189"/>
      <c r="F84" s="189"/>
      <c r="G84" s="189"/>
      <c r="H84" s="189"/>
      <c r="I84" s="189"/>
      <c r="J84" s="188"/>
      <c r="K84" s="189"/>
      <c r="L84" s="189"/>
      <c r="M84" s="189"/>
      <c r="N84" s="189"/>
      <c r="O84" s="189"/>
      <c r="P84" s="189"/>
      <c r="Q84" s="189"/>
      <c r="R84" s="189"/>
      <c r="S84" s="189"/>
      <c r="T84" s="189"/>
      <c r="U84" s="189"/>
      <c r="V84" s="189"/>
    </row>
  </sheetData>
  <sheetProtection algorithmName="SHA-512" hashValue="LoE+hTG6NB0QNm/yLDapzyZulCt/49gCp2DnQTDKv0I/8vRG7KNC9fwHNqHsym0KOL14qljogE2TLI5yu+5FDA==" saltValue="Kmu+IzaiQK0NKVCO0wyvzA==" spinCount="100000" sheet="1" objects="1" scenarios="1"/>
  <mergeCells count="54">
    <mergeCell ref="K44:M45"/>
    <mergeCell ref="B33:D34"/>
    <mergeCell ref="B29:D30"/>
    <mergeCell ref="B31:D32"/>
    <mergeCell ref="E29:H30"/>
    <mergeCell ref="B41:D43"/>
    <mergeCell ref="B27:D28"/>
    <mergeCell ref="E22:H22"/>
    <mergeCell ref="E23:H23"/>
    <mergeCell ref="B25:D26"/>
    <mergeCell ref="E25:H26"/>
    <mergeCell ref="E27:H28"/>
    <mergeCell ref="E24:H24"/>
    <mergeCell ref="E53:H53"/>
    <mergeCell ref="B62:D63"/>
    <mergeCell ref="E62:H63"/>
    <mergeCell ref="B46:D47"/>
    <mergeCell ref="B44:D45"/>
    <mergeCell ref="E44:H45"/>
    <mergeCell ref="E52:H52"/>
    <mergeCell ref="B48:D49"/>
    <mergeCell ref="E48:H49"/>
    <mergeCell ref="E50:H50"/>
    <mergeCell ref="B50:D50"/>
    <mergeCell ref="B51:D51"/>
    <mergeCell ref="E51:H51"/>
    <mergeCell ref="K23:L24"/>
    <mergeCell ref="M23:P24"/>
    <mergeCell ref="Q21:Q30"/>
    <mergeCell ref="E46:H47"/>
    <mergeCell ref="E31:H32"/>
    <mergeCell ref="E33:H34"/>
    <mergeCell ref="E21:H21"/>
    <mergeCell ref="E35:H35"/>
    <mergeCell ref="K21:L22"/>
    <mergeCell ref="M21:P22"/>
    <mergeCell ref="K25:L27"/>
    <mergeCell ref="M25:P27"/>
    <mergeCell ref="K28:L30"/>
    <mergeCell ref="M28:P30"/>
    <mergeCell ref="E41:H43"/>
    <mergeCell ref="N44:Q45"/>
    <mergeCell ref="A1:U3"/>
    <mergeCell ref="A4:AE4"/>
    <mergeCell ref="K9:L10"/>
    <mergeCell ref="M9:P10"/>
    <mergeCell ref="B20:D20"/>
    <mergeCell ref="E20:H20"/>
    <mergeCell ref="M18:P18"/>
    <mergeCell ref="M12:P12"/>
    <mergeCell ref="K14:L16"/>
    <mergeCell ref="M14:P16"/>
    <mergeCell ref="Q9:Q18"/>
    <mergeCell ref="K6:L6"/>
  </mergeCells>
  <hyperlinks>
    <hyperlink ref="K6" location="'Table of Contents'!B17" display="Table of Contents" xr:uid="{CE3F7C79-4658-4D96-A603-D32A5F806625}"/>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Z110"/>
  <sheetViews>
    <sheetView showGridLines="0" showRowColHeaders="0" zoomScaleNormal="100" workbookViewId="0">
      <selection activeCell="K7" sqref="K7:L7"/>
    </sheetView>
  </sheetViews>
  <sheetFormatPr defaultColWidth="8.7109375" defaultRowHeight="15"/>
  <cols>
    <col min="1" max="1" width="2.5703125" style="14" customWidth="1"/>
    <col min="2" max="2" width="20.5703125" style="14" customWidth="1"/>
    <col min="3" max="3" width="17.140625" style="14" customWidth="1"/>
    <col min="4" max="4" width="22.140625" style="14" customWidth="1"/>
    <col min="5" max="5" width="17.140625" style="14" customWidth="1"/>
    <col min="6" max="6" width="5.5703125" style="14" customWidth="1"/>
    <col min="7" max="7" width="17.140625" style="14" customWidth="1"/>
    <col min="8" max="8" width="5.5703125" style="14" customWidth="1"/>
    <col min="9" max="9" width="14.5703125" style="14" customWidth="1"/>
    <col min="10" max="10" width="11.140625" style="14" customWidth="1"/>
    <col min="11" max="11" width="7.5703125" style="14" customWidth="1"/>
    <col min="12" max="12" width="15.140625" style="14" customWidth="1"/>
    <col min="13" max="13" width="2.85546875" style="14" customWidth="1"/>
    <col min="14" max="14" width="26.5703125" style="14" customWidth="1"/>
    <col min="15" max="15" width="11.7109375" style="14" customWidth="1"/>
    <col min="16" max="16" width="18.140625" style="14" customWidth="1"/>
    <col min="17" max="17" width="12.7109375" style="14" customWidth="1"/>
    <col min="18" max="18" width="20.7109375" style="14" customWidth="1"/>
    <col min="19" max="19" width="17" style="14" customWidth="1"/>
    <col min="20" max="20" width="26" style="14" customWidth="1"/>
    <col min="21" max="21" width="23.5703125" style="14" customWidth="1"/>
    <col min="22" max="23" width="26.5703125" style="14" customWidth="1"/>
    <col min="24" max="24" width="8.85546875" style="14" customWidth="1"/>
    <col min="25" max="25" width="26.42578125" style="14" customWidth="1"/>
    <col min="26" max="26" width="20.28515625" style="14" customWidth="1"/>
    <col min="27" max="27" width="12.28515625" style="14" customWidth="1"/>
    <col min="28" max="28" width="9.5703125" style="14" hidden="1" customWidth="1"/>
    <col min="29" max="29" width="15" style="14" hidden="1" customWidth="1"/>
    <col min="30" max="30" width="13.28515625" style="14" hidden="1" customWidth="1"/>
    <col min="31" max="31" width="9.140625" style="14" hidden="1" customWidth="1"/>
    <col min="32" max="32" width="24.28515625" style="14" hidden="1" customWidth="1"/>
    <col min="33" max="33" width="14.42578125" style="14" hidden="1" customWidth="1"/>
    <col min="34" max="34" width="9.140625" style="14" hidden="1" customWidth="1"/>
    <col min="35" max="35" width="20.7109375" style="14" hidden="1" customWidth="1"/>
    <col min="36" max="36" width="12" style="14" hidden="1" customWidth="1"/>
    <col min="37" max="37" width="13.85546875" style="14" hidden="1" customWidth="1"/>
    <col min="38" max="38" width="12" style="14" hidden="1" customWidth="1"/>
    <col min="39" max="39" width="9.140625" style="14" hidden="1" customWidth="1"/>
    <col min="40" max="40" width="18.7109375" style="14" hidden="1" customWidth="1"/>
    <col min="41" max="41" width="8.5703125" style="14" hidden="1" customWidth="1"/>
    <col min="42" max="44" width="9.140625" style="14" hidden="1" customWidth="1"/>
    <col min="45" max="45" width="10.42578125" style="14" hidden="1" customWidth="1"/>
    <col min="46" max="46" width="10" style="14" hidden="1" customWidth="1"/>
    <col min="47" max="48" width="9.140625" style="14" hidden="1" customWidth="1"/>
    <col min="49" max="49" width="9.5703125" style="14" hidden="1" customWidth="1"/>
    <col min="50" max="50" width="11.140625" style="14" hidden="1" customWidth="1"/>
    <col min="51" max="51" width="12.7109375" style="14" hidden="1" customWidth="1"/>
    <col min="52" max="52" width="9.140625" style="14" hidden="1" customWidth="1"/>
    <col min="53" max="54" width="0" style="14" hidden="1" customWidth="1"/>
    <col min="55" max="16384" width="8.7109375" style="14"/>
  </cols>
  <sheetData>
    <row r="1" spans="1:51" ht="15" customHeight="1">
      <c r="A1" s="687"/>
      <c r="B1" s="687"/>
      <c r="C1" s="687"/>
      <c r="D1" s="687"/>
      <c r="E1" s="687"/>
      <c r="F1" s="687"/>
      <c r="G1" s="687"/>
      <c r="H1" s="687"/>
      <c r="I1" s="687"/>
      <c r="J1" s="687"/>
      <c r="K1" s="687"/>
    </row>
    <row r="2" spans="1:51" ht="15" customHeight="1">
      <c r="A2" s="687"/>
      <c r="B2" s="687"/>
      <c r="C2" s="687"/>
      <c r="D2" s="687"/>
      <c r="E2" s="687"/>
      <c r="F2" s="687"/>
      <c r="G2" s="687"/>
      <c r="H2" s="687"/>
      <c r="I2" s="687"/>
      <c r="J2" s="687"/>
      <c r="K2" s="687"/>
    </row>
    <row r="3" spans="1:51" ht="15" customHeight="1">
      <c r="A3" s="687"/>
      <c r="B3" s="687"/>
      <c r="C3" s="687"/>
      <c r="D3" s="687"/>
      <c r="E3" s="687"/>
      <c r="F3" s="687"/>
      <c r="G3" s="687"/>
      <c r="H3" s="687"/>
      <c r="I3" s="687"/>
      <c r="J3" s="687"/>
      <c r="K3" s="687"/>
    </row>
    <row r="4" spans="1:51" ht="15" customHeight="1">
      <c r="A4" s="688"/>
      <c r="B4" s="688"/>
      <c r="C4" s="688"/>
      <c r="D4" s="688"/>
      <c r="E4" s="688"/>
      <c r="F4" s="688"/>
      <c r="G4" s="688"/>
      <c r="H4" s="688"/>
      <c r="I4" s="688"/>
      <c r="J4" s="688"/>
      <c r="K4" s="688"/>
      <c r="L4" s="688"/>
      <c r="M4" s="688"/>
      <c r="N4" s="688"/>
      <c r="O4" s="688"/>
      <c r="P4" s="688"/>
      <c r="Q4" s="688"/>
      <c r="R4" s="688"/>
      <c r="S4" s="688"/>
      <c r="T4" s="688"/>
      <c r="U4" s="688"/>
      <c r="V4" s="688"/>
      <c r="W4" s="688"/>
      <c r="X4" s="688"/>
      <c r="Y4" s="688"/>
      <c r="Z4" s="688"/>
      <c r="AA4" s="688"/>
      <c r="AB4" s="688"/>
      <c r="AC4" s="688"/>
      <c r="AD4" s="688"/>
      <c r="AE4" s="688"/>
      <c r="AF4" s="688"/>
      <c r="AG4" s="688"/>
      <c r="AH4" s="688"/>
      <c r="AI4" s="688"/>
      <c r="AJ4" s="688"/>
      <c r="AK4" s="688"/>
      <c r="AL4" s="688"/>
      <c r="AM4" s="688"/>
      <c r="AN4" s="688"/>
      <c r="AO4" s="688"/>
    </row>
    <row r="5" spans="1:51" ht="15" customHeight="1" thickBot="1">
      <c r="N5" s="692" t="s">
        <v>8</v>
      </c>
      <c r="O5" s="692"/>
    </row>
    <row r="6" spans="1:51" ht="17.100000000000001" customHeight="1" thickBot="1">
      <c r="B6" s="689" t="str">
        <f>IF(K7="[Select Configuration]","selectConfig",IF(K7="Differential without R3'","withoutR3",IF(K7="Differential with R3'","withR3",IF(K7="Single-Ended","single"," "))))</f>
        <v>selectConfig</v>
      </c>
      <c r="C6" s="689"/>
      <c r="D6" s="689"/>
      <c r="G6" s="693" t="s">
        <v>18</v>
      </c>
      <c r="H6" s="694"/>
      <c r="I6" s="694"/>
      <c r="J6" s="694"/>
      <c r="K6" s="694"/>
      <c r="L6" s="695"/>
      <c r="N6" s="690" t="s">
        <v>42</v>
      </c>
      <c r="O6" s="691"/>
      <c r="R6" s="15"/>
      <c r="AP6" s="14" t="s">
        <v>119</v>
      </c>
      <c r="AQ6" s="14" t="s">
        <v>129</v>
      </c>
      <c r="AR6" s="14" t="s">
        <v>130</v>
      </c>
      <c r="AS6" s="14" t="s">
        <v>131</v>
      </c>
      <c r="AT6" s="14" t="s">
        <v>132</v>
      </c>
      <c r="AU6" s="14" t="s">
        <v>133</v>
      </c>
      <c r="AV6" s="14" t="s">
        <v>134</v>
      </c>
      <c r="AW6" s="14" t="s">
        <v>135</v>
      </c>
      <c r="AX6" s="14" t="s">
        <v>136</v>
      </c>
      <c r="AY6" s="14" t="s">
        <v>137</v>
      </c>
    </row>
    <row r="7" spans="1:51" ht="15" customHeight="1" thickBot="1">
      <c r="B7" s="689"/>
      <c r="C7" s="689"/>
      <c r="D7" s="689"/>
      <c r="E7" s="16"/>
      <c r="G7" s="730" t="s">
        <v>485</v>
      </c>
      <c r="H7" s="731"/>
      <c r="I7" s="731"/>
      <c r="J7" s="731"/>
      <c r="K7" s="696" t="s">
        <v>59</v>
      </c>
      <c r="L7" s="697"/>
      <c r="N7" s="1" t="s">
        <v>43</v>
      </c>
      <c r="O7" s="6" t="s">
        <v>9</v>
      </c>
      <c r="AP7" s="17">
        <v>10</v>
      </c>
      <c r="AQ7" s="18">
        <f>Table3[[#This Row],[R]]*10</f>
        <v>100</v>
      </c>
      <c r="AR7" s="19">
        <f>Table3[[#This Row],[R2]]*10</f>
        <v>1000</v>
      </c>
      <c r="AS7" s="19">
        <f>Table3[[#This Row],[R3]]*10</f>
        <v>10000</v>
      </c>
      <c r="AT7" s="19">
        <f>Table3[[#This Row],[R4]]*10</f>
        <v>100000</v>
      </c>
      <c r="AU7" s="20">
        <f>Table3[[#This Row],[R]]/10</f>
        <v>1</v>
      </c>
      <c r="AV7" s="20">
        <f>Table3[[#This Row],[R6]]/10</f>
        <v>0.1</v>
      </c>
      <c r="AW7" s="20">
        <f>Table3[[#This Row],[R7]]/10</f>
        <v>0.01</v>
      </c>
      <c r="AX7" s="20">
        <f>Table3[[#This Row],[R8]]/10</f>
        <v>1E-3</v>
      </c>
      <c r="AY7" s="20">
        <f>Table3[[#This Row],[R9]]/10</f>
        <v>1E-4</v>
      </c>
    </row>
    <row r="8" spans="1:51" ht="15" customHeight="1" thickBot="1">
      <c r="B8" s="689"/>
      <c r="C8" s="689"/>
      <c r="D8" s="689"/>
      <c r="G8" s="732" t="s">
        <v>54</v>
      </c>
      <c r="H8" s="733"/>
      <c r="I8" s="733"/>
      <c r="J8" s="733"/>
      <c r="K8" s="698" t="s">
        <v>60</v>
      </c>
      <c r="L8" s="699"/>
      <c r="N8" s="1" t="s">
        <v>470</v>
      </c>
      <c r="O8" s="2" t="s">
        <v>9</v>
      </c>
      <c r="AC8" s="624" t="s">
        <v>161</v>
      </c>
      <c r="AD8" s="625"/>
      <c r="AE8" s="21" t="s">
        <v>118</v>
      </c>
      <c r="AF8" s="624" t="s">
        <v>158</v>
      </c>
      <c r="AG8" s="625"/>
      <c r="AI8" s="624" t="s">
        <v>164</v>
      </c>
      <c r="AJ8" s="716"/>
      <c r="AK8" s="716"/>
      <c r="AL8" s="625"/>
      <c r="AN8" s="624" t="s">
        <v>139</v>
      </c>
      <c r="AO8" s="625"/>
      <c r="AP8" s="22">
        <v>10.199999999999999</v>
      </c>
      <c r="AQ8" s="18">
        <f>Table3[[#This Row],[R]]*10</f>
        <v>102</v>
      </c>
      <c r="AR8" s="19">
        <f>Table3[[#This Row],[R2]]*10</f>
        <v>1020</v>
      </c>
      <c r="AS8" s="19">
        <f>Table3[[#This Row],[R3]]*10</f>
        <v>10200</v>
      </c>
      <c r="AT8" s="19">
        <f>Table3[[#This Row],[R4]]*10</f>
        <v>102000</v>
      </c>
      <c r="AU8" s="20">
        <f>Table3[[#This Row],[R]]/10</f>
        <v>1.02</v>
      </c>
      <c r="AV8" s="20">
        <f>Table3[[#This Row],[R6]]/10</f>
        <v>0.10200000000000001</v>
      </c>
      <c r="AW8" s="20">
        <f>Table3[[#This Row],[R7]]/10</f>
        <v>1.0200000000000001E-2</v>
      </c>
      <c r="AX8" s="20">
        <f>Table3[[#This Row],[R8]]/10</f>
        <v>1.0200000000000001E-3</v>
      </c>
      <c r="AY8" s="20">
        <f>Table3[[#This Row],[R9]]/10</f>
        <v>1.0200000000000001E-4</v>
      </c>
    </row>
    <row r="9" spans="1:51" ht="15" customHeight="1" thickBot="1">
      <c r="B9" s="689"/>
      <c r="C9" s="689"/>
      <c r="D9" s="689"/>
      <c r="G9" s="727" t="s">
        <v>87</v>
      </c>
      <c r="H9" s="728"/>
      <c r="I9" s="728"/>
      <c r="J9" s="729"/>
      <c r="K9" s="700">
        <v>800</v>
      </c>
      <c r="L9" s="701"/>
      <c r="M9" s="23"/>
      <c r="N9" s="1" t="s">
        <v>471</v>
      </c>
      <c r="O9" s="3" t="s">
        <v>9</v>
      </c>
      <c r="P9" s="24"/>
      <c r="Q9" s="24"/>
      <c r="AC9" s="25" t="s">
        <v>86</v>
      </c>
      <c r="AD9" s="26">
        <f>(K12/1000)/K9</f>
        <v>6.2500000000000001E-5</v>
      </c>
      <c r="AE9" s="25"/>
      <c r="AF9" s="27" t="s">
        <v>89</v>
      </c>
      <c r="AG9" s="28" t="e">
        <f>AG10*0.85</f>
        <v>#VALUE!</v>
      </c>
      <c r="AI9" s="624" t="s">
        <v>165</v>
      </c>
      <c r="AJ9" s="625"/>
      <c r="AK9" s="716" t="s">
        <v>126</v>
      </c>
      <c r="AL9" s="625"/>
      <c r="AN9" s="25" t="s">
        <v>166</v>
      </c>
      <c r="AO9" s="29" t="str">
        <f>IF(OR(K8="[Select Device]",K7="[Select Configuration]")," ",IF(OR(K7="Differential without R3'",K7="Single-Ended"),AJ18,AL10))</f>
        <v xml:space="preserve"> </v>
      </c>
      <c r="AP9" s="22">
        <v>10.5</v>
      </c>
      <c r="AQ9" s="18">
        <f>Table3[[#This Row],[R]]*10</f>
        <v>105</v>
      </c>
      <c r="AR9" s="19">
        <f>Table3[[#This Row],[R2]]*10</f>
        <v>1050</v>
      </c>
      <c r="AS9" s="19">
        <f>Table3[[#This Row],[R3]]*10</f>
        <v>10500</v>
      </c>
      <c r="AT9" s="19">
        <f>Table3[[#This Row],[R4]]*10</f>
        <v>105000</v>
      </c>
      <c r="AU9" s="20">
        <f>Table3[[#This Row],[R]]/10</f>
        <v>1.05</v>
      </c>
      <c r="AV9" s="20">
        <f>Table3[[#This Row],[R6]]/10</f>
        <v>0.10500000000000001</v>
      </c>
      <c r="AW9" s="20">
        <f>Table3[[#This Row],[R7]]/10</f>
        <v>1.0500000000000001E-2</v>
      </c>
      <c r="AX9" s="20">
        <f>Table3[[#This Row],[R8]]/10</f>
        <v>1.0500000000000002E-3</v>
      </c>
      <c r="AY9" s="20">
        <f>Table3[[#This Row],[R9]]/10</f>
        <v>1.0500000000000002E-4</v>
      </c>
    </row>
    <row r="10" spans="1:51" ht="15" customHeight="1" thickBot="1">
      <c r="B10" s="689"/>
      <c r="C10" s="689"/>
      <c r="D10" s="689"/>
      <c r="G10" s="727" t="s">
        <v>41</v>
      </c>
      <c r="H10" s="728"/>
      <c r="I10" s="728"/>
      <c r="J10" s="729"/>
      <c r="K10" s="710">
        <v>1000000</v>
      </c>
      <c r="L10" s="711"/>
      <c r="M10" s="23"/>
      <c r="N10" s="4" t="s">
        <v>192</v>
      </c>
      <c r="O10" s="30" t="s">
        <v>9</v>
      </c>
      <c r="Q10" s="24"/>
      <c r="AC10" s="25" t="s">
        <v>200</v>
      </c>
      <c r="AD10" s="26" t="e">
        <f>(((2*K13)+AG10)/((2*K13+AG10)+K18+(1/((1/(K10+K11))+(1/K17)))))*K17/((K10+K11)+K17)</f>
        <v>#VALUE!</v>
      </c>
      <c r="AE10" s="31" t="e">
        <f>AD10*AD21</f>
        <v>#VALUE!</v>
      </c>
      <c r="AF10" s="32" t="s">
        <v>91</v>
      </c>
      <c r="AG10" s="33" t="str">
        <f>IF(K7="[Select Configuration]", " ", IF(K8="[Select Device]", "e in the User Inputs.  ", VLOOKUP(K8, Devices[], COLUMN(Devices[Differential Input Resistance]), 0)))</f>
        <v xml:space="preserve"> </v>
      </c>
      <c r="AI10" s="34" t="s">
        <v>178</v>
      </c>
      <c r="AJ10" s="35"/>
      <c r="AK10" s="24" t="s">
        <v>184</v>
      </c>
      <c r="AL10" s="29" t="e">
        <f>((AD9*(K10+K11)))/(1-AD9-AD9*(2*(K10+K11))/(2*K13+AG10))</f>
        <v>#VALUE!</v>
      </c>
      <c r="AN10" s="25" t="s">
        <v>167</v>
      </c>
      <c r="AO10" s="29">
        <f t="array" ref="AO10">MAX(IF(Table3[]&lt;=AO9,Table3[]))</f>
        <v>976000</v>
      </c>
      <c r="AP10" s="22">
        <v>10.7</v>
      </c>
      <c r="AQ10" s="18">
        <f>Table3[[#This Row],[R]]*10</f>
        <v>107</v>
      </c>
      <c r="AR10" s="19">
        <f>Table3[[#This Row],[R2]]*10</f>
        <v>1070</v>
      </c>
      <c r="AS10" s="19">
        <f>Table3[[#This Row],[R3]]*10</f>
        <v>10700</v>
      </c>
      <c r="AT10" s="19">
        <f>Table3[[#This Row],[R4]]*10</f>
        <v>107000</v>
      </c>
      <c r="AU10" s="20">
        <f>Table3[[#This Row],[R]]/10</f>
        <v>1.0699999999999998</v>
      </c>
      <c r="AV10" s="20">
        <f>Table3[[#This Row],[R6]]/10</f>
        <v>0.10699999999999998</v>
      </c>
      <c r="AW10" s="20">
        <f>Table3[[#This Row],[R7]]/10</f>
        <v>1.0699999999999998E-2</v>
      </c>
      <c r="AX10" s="20">
        <f>Table3[[#This Row],[R8]]/10</f>
        <v>1.0699999999999998E-3</v>
      </c>
      <c r="AY10" s="20">
        <f>Table3[[#This Row],[R9]]/10</f>
        <v>1.0699999999999997E-4</v>
      </c>
    </row>
    <row r="11" spans="1:51" ht="15" customHeight="1" thickBot="1">
      <c r="B11" s="689"/>
      <c r="C11" s="689"/>
      <c r="D11" s="689"/>
      <c r="G11" s="727" t="s">
        <v>40</v>
      </c>
      <c r="H11" s="728"/>
      <c r="I11" s="728"/>
      <c r="J11" s="729"/>
      <c r="K11" s="710">
        <v>1000000</v>
      </c>
      <c r="L11" s="711"/>
      <c r="M11" s="23"/>
      <c r="N11" s="5" t="s">
        <v>193</v>
      </c>
      <c r="O11" s="36" t="s">
        <v>9</v>
      </c>
      <c r="P11" s="37"/>
      <c r="Q11" s="24"/>
      <c r="AC11" s="25" t="s">
        <v>88</v>
      </c>
      <c r="AD11" s="26">
        <v>0</v>
      </c>
      <c r="AE11" s="25"/>
      <c r="AF11" s="38" t="s">
        <v>90</v>
      </c>
      <c r="AG11" s="39" t="e">
        <f>AG10*1.15</f>
        <v>#VALUE!</v>
      </c>
      <c r="AI11" s="25" t="s">
        <v>168</v>
      </c>
      <c r="AJ11" s="40">
        <f>K12</f>
        <v>50</v>
      </c>
      <c r="AK11" s="24" t="s">
        <v>183</v>
      </c>
      <c r="AL11" s="29">
        <f>AO10</f>
        <v>976000</v>
      </c>
      <c r="AN11" s="41" t="s">
        <v>138</v>
      </c>
      <c r="AO11" s="42"/>
      <c r="AP11" s="22">
        <v>11</v>
      </c>
      <c r="AQ11" s="18">
        <f>Table3[[#This Row],[R]]*10</f>
        <v>110</v>
      </c>
      <c r="AR11" s="19">
        <f>Table3[[#This Row],[R2]]*10</f>
        <v>1100</v>
      </c>
      <c r="AS11" s="19">
        <f>Table3[[#This Row],[R3]]*10</f>
        <v>11000</v>
      </c>
      <c r="AT11" s="19">
        <f>Table3[[#This Row],[R4]]*10</f>
        <v>110000</v>
      </c>
      <c r="AU11" s="20">
        <f>Table3[[#This Row],[R]]/10</f>
        <v>1.1000000000000001</v>
      </c>
      <c r="AV11" s="20">
        <f>Table3[[#This Row],[R6]]/10</f>
        <v>0.11000000000000001</v>
      </c>
      <c r="AW11" s="20">
        <f>Table3[[#This Row],[R7]]/10</f>
        <v>1.1000000000000001E-2</v>
      </c>
      <c r="AX11" s="20">
        <f>Table3[[#This Row],[R8]]/10</f>
        <v>1.1000000000000001E-3</v>
      </c>
      <c r="AY11" s="20">
        <f>Table3[[#This Row],[R9]]/10</f>
        <v>1.1E-4</v>
      </c>
    </row>
    <row r="12" spans="1:51" ht="15" customHeight="1" thickBot="1">
      <c r="B12" s="689"/>
      <c r="C12" s="689"/>
      <c r="D12" s="689"/>
      <c r="G12" s="727" t="s">
        <v>115</v>
      </c>
      <c r="H12" s="728"/>
      <c r="I12" s="728"/>
      <c r="J12" s="729"/>
      <c r="K12" s="712">
        <v>50</v>
      </c>
      <c r="L12" s="713"/>
      <c r="M12" s="43"/>
      <c r="N12" s="43"/>
      <c r="O12" s="24"/>
      <c r="P12" s="37"/>
      <c r="Q12" s="24"/>
      <c r="AC12" s="25" t="s">
        <v>151</v>
      </c>
      <c r="AD12" s="26" t="e">
        <f>((2*K13+AG10)/((2*K13+AG10+K20)+(1/((1/(K10+K11))+(1/K19)))))*K19/((K10+K11)+K19)</f>
        <v>#VALUE!</v>
      </c>
      <c r="AE12" s="31" t="e">
        <f>AD12*AD21</f>
        <v>#VALUE!</v>
      </c>
      <c r="AF12" s="25"/>
      <c r="AG12" s="44"/>
      <c r="AI12" s="25" t="s">
        <v>169</v>
      </c>
      <c r="AJ12" s="29">
        <f>1/((1/(((AJ11/1000)/K9)*(K10+K11)/(1-((AJ11/1000)/K9))))-(1/(K13+VLOOKUP(K8,Devices[],COLUMN(Devices[Single-Ended Input Resistance]),0))))</f>
        <v>-10.869506143988346</v>
      </c>
      <c r="AK12" s="24" t="s">
        <v>127</v>
      </c>
      <c r="AL12" s="44" t="e">
        <f>AL11/((K10+K11)+AL11*(2*(K10+K11)/VLOOKUP(K8,Devices[],COLUMN(Devices[Differential Input Resistance]),0)))</f>
        <v>#DIV/0!</v>
      </c>
      <c r="AN12" s="24"/>
      <c r="AO12" s="24"/>
      <c r="AP12" s="22">
        <v>11.3</v>
      </c>
      <c r="AQ12" s="18">
        <f>Table3[[#This Row],[R]]*10</f>
        <v>113</v>
      </c>
      <c r="AR12" s="19">
        <f>Table3[[#This Row],[R2]]*10</f>
        <v>1130</v>
      </c>
      <c r="AS12" s="19">
        <f>Table3[[#This Row],[R3]]*10</f>
        <v>11300</v>
      </c>
      <c r="AT12" s="19">
        <f>Table3[[#This Row],[R4]]*10</f>
        <v>113000</v>
      </c>
      <c r="AU12" s="20">
        <f>Table3[[#This Row],[R]]/10</f>
        <v>1.1300000000000001</v>
      </c>
      <c r="AV12" s="20">
        <f>Table3[[#This Row],[R6]]/10</f>
        <v>0.11300000000000002</v>
      </c>
      <c r="AW12" s="20">
        <f>Table3[[#This Row],[R7]]/10</f>
        <v>1.1300000000000001E-2</v>
      </c>
      <c r="AX12" s="20">
        <f>Table3[[#This Row],[R8]]/10</f>
        <v>1.1300000000000001E-3</v>
      </c>
      <c r="AY12" s="20">
        <f>Table3[[#This Row],[R9]]/10</f>
        <v>1.1300000000000001E-4</v>
      </c>
    </row>
    <row r="13" spans="1:51" ht="15" customHeight="1" thickBot="1">
      <c r="B13" s="689"/>
      <c r="C13" s="689"/>
      <c r="D13" s="689"/>
      <c r="G13" s="727" t="s">
        <v>196</v>
      </c>
      <c r="H13" s="728"/>
      <c r="I13" s="728"/>
      <c r="J13" s="729"/>
      <c r="K13" s="710">
        <v>10</v>
      </c>
      <c r="L13" s="711"/>
      <c r="N13" s="759" t="s">
        <v>380</v>
      </c>
      <c r="O13" s="760"/>
      <c r="AC13" s="45" t="s">
        <v>93</v>
      </c>
      <c r="AD13" s="46" t="e">
        <f>((2*K13+AG9)/((2*K13+AG9+K20)+(1/((1/(K10+K11))+(1/K19)))))*K19/((K10+K11)+K19)</f>
        <v>#VALUE!</v>
      </c>
      <c r="AE13" s="47" t="e">
        <f>AD13*AD22</f>
        <v>#VALUE!</v>
      </c>
      <c r="AF13" s="45" t="s">
        <v>94</v>
      </c>
      <c r="AG13" s="48" t="e">
        <f>IF(OR(K7="Differential without R3'",K7="Single-Ended"),AJ24,(K9*AE12+AD19*K13)*1000)</f>
        <v>#VALUE!</v>
      </c>
      <c r="AI13" s="25" t="s">
        <v>170</v>
      </c>
      <c r="AJ13" s="40">
        <f>(AJ12*VLOOKUP(K8,Devices[],COLUMN(Devices[Bias Current]),0))/1000</f>
        <v>0</v>
      </c>
      <c r="AK13" s="24" t="s">
        <v>128</v>
      </c>
      <c r="AL13" s="40" t="e">
        <f>AL12*K9*1000</f>
        <v>#DIV/0!</v>
      </c>
      <c r="AN13" s="24"/>
      <c r="AO13" s="24"/>
      <c r="AP13" s="22">
        <v>11.5</v>
      </c>
      <c r="AQ13" s="18">
        <f>Table3[[#This Row],[R]]*10</f>
        <v>115</v>
      </c>
      <c r="AR13" s="19">
        <f>Table3[[#This Row],[R2]]*10</f>
        <v>1150</v>
      </c>
      <c r="AS13" s="19">
        <f>Table3[[#This Row],[R3]]*10</f>
        <v>11500</v>
      </c>
      <c r="AT13" s="19">
        <f>Table3[[#This Row],[R4]]*10</f>
        <v>115000</v>
      </c>
      <c r="AU13" s="20">
        <f>Table3[[#This Row],[R]]/10</f>
        <v>1.1499999999999999</v>
      </c>
      <c r="AV13" s="20">
        <f>Table3[[#This Row],[R6]]/10</f>
        <v>0.11499999999999999</v>
      </c>
      <c r="AW13" s="20">
        <f>Table3[[#This Row],[R7]]/10</f>
        <v>1.15E-2</v>
      </c>
      <c r="AX13" s="20">
        <f>Table3[[#This Row],[R8]]/10</f>
        <v>1.15E-3</v>
      </c>
      <c r="AY13" s="20">
        <f>Table3[[#This Row],[R9]]/10</f>
        <v>1.15E-4</v>
      </c>
    </row>
    <row r="14" spans="1:51" ht="15" customHeight="1" thickBot="1">
      <c r="B14" s="689"/>
      <c r="C14" s="689"/>
      <c r="D14" s="689"/>
      <c r="G14" s="727" t="s">
        <v>197</v>
      </c>
      <c r="H14" s="728"/>
      <c r="I14" s="728"/>
      <c r="J14" s="729"/>
      <c r="K14" s="714">
        <v>10</v>
      </c>
      <c r="L14" s="715"/>
      <c r="N14" s="49" t="s">
        <v>372</v>
      </c>
      <c r="O14" s="50" t="str">
        <f>E46</f>
        <v xml:space="preserve"> </v>
      </c>
      <c r="AC14" s="45" t="s">
        <v>102</v>
      </c>
      <c r="AD14" s="46" t="e">
        <f>((2*K13+AG21)/((2*K13+AG21+K20)+(1/((1/(K10+K11))+(1/K19)))))*K19/((K11+K10)+K19)</f>
        <v>#VALUE!</v>
      </c>
      <c r="AE14" s="47" t="e">
        <f>AD14*AD23</f>
        <v>#VALUE!</v>
      </c>
      <c r="AF14" s="45" t="s">
        <v>96</v>
      </c>
      <c r="AG14" s="48" t="e">
        <f>IF(OR(K7="Differential without R3'",K7="Single-Ended"),AJ35,(K9*AE13+AD19*K13)*1000)</f>
        <v>#VALUE!</v>
      </c>
      <c r="AI14" s="45" t="s">
        <v>171</v>
      </c>
      <c r="AJ14" s="51">
        <f>AJ11-AJ13</f>
        <v>50</v>
      </c>
      <c r="AK14" s="52" t="s">
        <v>118</v>
      </c>
      <c r="AL14" s="53" t="e">
        <f>AL13*AD21</f>
        <v>#DIV/0!</v>
      </c>
      <c r="AN14" s="24"/>
      <c r="AO14" s="24"/>
      <c r="AP14" s="54">
        <v>11.8</v>
      </c>
      <c r="AQ14" s="18">
        <f>Table3[[#This Row],[R]]*10</f>
        <v>118</v>
      </c>
      <c r="AR14" s="19">
        <f>Table3[[#This Row],[R2]]*10</f>
        <v>1180</v>
      </c>
      <c r="AS14" s="19">
        <f>Table3[[#This Row],[R3]]*10</f>
        <v>11800</v>
      </c>
      <c r="AT14" s="19">
        <f>Table3[[#This Row],[R4]]*10</f>
        <v>118000</v>
      </c>
      <c r="AU14" s="20">
        <f>Table3[[#This Row],[R]]/10</f>
        <v>1.1800000000000002</v>
      </c>
      <c r="AV14" s="20">
        <f>Table3[[#This Row],[R6]]/10</f>
        <v>0.11800000000000002</v>
      </c>
      <c r="AW14" s="20">
        <f>Table3[[#This Row],[R7]]/10</f>
        <v>1.1800000000000001E-2</v>
      </c>
      <c r="AX14" s="20">
        <f>Table3[[#This Row],[R8]]/10</f>
        <v>1.1800000000000001E-3</v>
      </c>
      <c r="AY14" s="20">
        <f>Table3[[#This Row],[R9]]/10</f>
        <v>1.1800000000000001E-4</v>
      </c>
    </row>
    <row r="15" spans="1:51" ht="15" customHeight="1" thickBot="1">
      <c r="B15" s="689"/>
      <c r="C15" s="689"/>
      <c r="D15" s="689"/>
      <c r="G15" s="727" t="s">
        <v>271</v>
      </c>
      <c r="H15" s="728"/>
      <c r="I15" s="728"/>
      <c r="J15" s="729"/>
      <c r="K15" s="702">
        <v>-40</v>
      </c>
      <c r="L15" s="703"/>
      <c r="N15" s="55" t="s">
        <v>367</v>
      </c>
      <c r="O15" s="56" t="str">
        <f>I46</f>
        <v xml:space="preserve"> </v>
      </c>
      <c r="AC15" s="45" t="s">
        <v>92</v>
      </c>
      <c r="AD15" s="46" t="e">
        <f>((2*K13+AG11)/((2*K13+AG11+K20)+(1/((1/(K10+K11))+(1/K19)))))*K19/((K10+K11)+K19)</f>
        <v>#VALUE!</v>
      </c>
      <c r="AE15" s="47" t="e">
        <f>AD15*AD24</f>
        <v>#VALUE!</v>
      </c>
      <c r="AF15" s="45" t="s">
        <v>97</v>
      </c>
      <c r="AG15" s="48" t="e">
        <f>IF(OR(K7="Differential without R3'",K7="Single-Ended"),AJ29,(K9*AE15+AD19*K13)*1000)</f>
        <v>#VALUE!</v>
      </c>
      <c r="AI15" s="45" t="s">
        <v>172</v>
      </c>
      <c r="AJ15" s="29">
        <f>1/((1/(((AJ14/1000)/K9)*(K10+K11)/(1-((AJ14/1000)/K9))))-(1/(K13+VLOOKUP(K8,Devices[],COLUMN(Devices[Single-Ended Input Resistance]),0))))</f>
        <v>-10.869506143988346</v>
      </c>
      <c r="AN15" s="57"/>
      <c r="AO15" s="57"/>
      <c r="AP15" s="58">
        <v>12.1</v>
      </c>
      <c r="AQ15" s="18">
        <f>Table3[[#This Row],[R]]*10</f>
        <v>121</v>
      </c>
      <c r="AR15" s="19">
        <f>Table3[[#This Row],[R2]]*10</f>
        <v>1210</v>
      </c>
      <c r="AS15" s="19">
        <f>Table3[[#This Row],[R3]]*10</f>
        <v>12100</v>
      </c>
      <c r="AT15" s="19">
        <f>Table3[[#This Row],[R4]]*10</f>
        <v>121000</v>
      </c>
      <c r="AU15" s="20">
        <f>Table3[[#This Row],[R]]/10</f>
        <v>1.21</v>
      </c>
      <c r="AV15" s="20">
        <f>Table3[[#This Row],[R6]]/10</f>
        <v>0.121</v>
      </c>
      <c r="AW15" s="20">
        <f>Table3[[#This Row],[R7]]/10</f>
        <v>1.21E-2</v>
      </c>
      <c r="AX15" s="20">
        <f>Table3[[#This Row],[R8]]/10</f>
        <v>1.2099999999999999E-3</v>
      </c>
      <c r="AY15" s="20">
        <f>Table3[[#This Row],[R9]]/10</f>
        <v>1.2099999999999999E-4</v>
      </c>
    </row>
    <row r="16" spans="1:51" ht="15" customHeight="1" thickBot="1">
      <c r="B16" s="689"/>
      <c r="C16" s="689"/>
      <c r="D16" s="689"/>
      <c r="G16" s="724" t="s">
        <v>272</v>
      </c>
      <c r="H16" s="725"/>
      <c r="I16" s="725"/>
      <c r="J16" s="726"/>
      <c r="K16" s="704">
        <v>125</v>
      </c>
      <c r="L16" s="705"/>
      <c r="M16" s="59"/>
      <c r="N16" s="55" t="s">
        <v>373</v>
      </c>
      <c r="O16" s="60" t="str">
        <f>G46</f>
        <v xml:space="preserve"> </v>
      </c>
      <c r="AC16" s="61" t="s">
        <v>105</v>
      </c>
      <c r="AD16" s="62" t="e">
        <f>((2*K13+AG22)/((2*K13+AG22+K20)+(1/((1/(K10+K11))+(1/K19)))))*K19/((K10+K11)+K19)</f>
        <v>#VALUE!</v>
      </c>
      <c r="AE16" s="63" t="e">
        <f>AD16*AD25</f>
        <v>#VALUE!</v>
      </c>
      <c r="AF16" s="45" t="s">
        <v>95</v>
      </c>
      <c r="AG16" s="64" t="e">
        <f>ABS((AG13-AG13)/(AG13))</f>
        <v>#VALUE!</v>
      </c>
      <c r="AI16" s="45" t="s">
        <v>173</v>
      </c>
      <c r="AJ16" s="40">
        <f>(AJ15*VLOOKUP(K8,Devices[],COLUMN(Devices[Bias Current]),0))/1000</f>
        <v>0</v>
      </c>
      <c r="AL16" s="65"/>
      <c r="AP16" s="66">
        <v>12.4</v>
      </c>
      <c r="AQ16" s="18">
        <f>Table3[[#This Row],[R]]*10</f>
        <v>124</v>
      </c>
      <c r="AR16" s="19">
        <f>Table3[[#This Row],[R2]]*10</f>
        <v>1240</v>
      </c>
      <c r="AS16" s="19">
        <f>Table3[[#This Row],[R3]]*10</f>
        <v>12400</v>
      </c>
      <c r="AT16" s="19">
        <f>Table3[[#This Row],[R4]]*10</f>
        <v>124000</v>
      </c>
      <c r="AU16" s="20">
        <f>Table3[[#This Row],[R]]/10</f>
        <v>1.24</v>
      </c>
      <c r="AV16" s="20">
        <f>Table3[[#This Row],[R6]]/10</f>
        <v>0.124</v>
      </c>
      <c r="AW16" s="20">
        <f>Table3[[#This Row],[R7]]/10</f>
        <v>1.24E-2</v>
      </c>
      <c r="AX16" s="20">
        <f>Table3[[#This Row],[R8]]/10</f>
        <v>1.24E-3</v>
      </c>
      <c r="AY16" s="20">
        <f>Table3[[#This Row],[R9]]/10</f>
        <v>1.2400000000000001E-4</v>
      </c>
    </row>
    <row r="17" spans="2:51" ht="15" customHeight="1" thickBot="1">
      <c r="B17" s="689"/>
      <c r="C17" s="689"/>
      <c r="D17" s="689"/>
      <c r="G17" s="727" t="s">
        <v>124</v>
      </c>
      <c r="H17" s="728"/>
      <c r="I17" s="728"/>
      <c r="J17" s="729"/>
      <c r="K17" s="706" t="str">
        <f>IF(OR(K8="[Select Device]",K7="[Select Configuration]")," ",IF(OR(K7="Differential without R3'",K7="Single-Ended"),AO9,((AD9*(K10+K11)))/(1-AD9-AD9*(2*(K10+K11))/(2*K13+AG10))))</f>
        <v xml:space="preserve"> </v>
      </c>
      <c r="L17" s="707"/>
      <c r="M17" s="43"/>
      <c r="N17" s="67" t="s">
        <v>374</v>
      </c>
      <c r="O17" s="68" t="str">
        <f>K46</f>
        <v xml:space="preserve"> </v>
      </c>
      <c r="AC17" s="624" t="s">
        <v>163</v>
      </c>
      <c r="AD17" s="625"/>
      <c r="AE17" s="69"/>
      <c r="AF17" s="45" t="s">
        <v>99</v>
      </c>
      <c r="AG17" s="64" t="e">
        <f>ABS((AG14-AG13)/(AG13))</f>
        <v>#VALUE!</v>
      </c>
      <c r="AI17" s="45" t="s">
        <v>174</v>
      </c>
      <c r="AJ17" s="40">
        <f>AJ11-AJ16</f>
        <v>50</v>
      </c>
      <c r="AP17" s="66">
        <v>12.7</v>
      </c>
      <c r="AQ17" s="18">
        <f>Table3[[#This Row],[R]]*10</f>
        <v>127</v>
      </c>
      <c r="AR17" s="19">
        <f>Table3[[#This Row],[R2]]*10</f>
        <v>1270</v>
      </c>
      <c r="AS17" s="19">
        <f>Table3[[#This Row],[R3]]*10</f>
        <v>12700</v>
      </c>
      <c r="AT17" s="19">
        <f>Table3[[#This Row],[R4]]*10</f>
        <v>127000</v>
      </c>
      <c r="AU17" s="20">
        <f>Table3[[#This Row],[R]]/10</f>
        <v>1.27</v>
      </c>
      <c r="AV17" s="20">
        <f>Table3[[#This Row],[R6]]/10</f>
        <v>0.127</v>
      </c>
      <c r="AW17" s="20">
        <f>Table3[[#This Row],[R7]]/10</f>
        <v>1.2699999999999999E-2</v>
      </c>
      <c r="AX17" s="20">
        <f>Table3[[#This Row],[R8]]/10</f>
        <v>1.2699999999999999E-3</v>
      </c>
      <c r="AY17" s="20">
        <f>Table3[[#This Row],[R9]]/10</f>
        <v>1.27E-4</v>
      </c>
    </row>
    <row r="18" spans="2:51" ht="15" customHeight="1" thickBot="1">
      <c r="B18" s="689"/>
      <c r="C18" s="689"/>
      <c r="D18" s="689"/>
      <c r="G18" s="727" t="s">
        <v>125</v>
      </c>
      <c r="H18" s="728"/>
      <c r="I18" s="728"/>
      <c r="J18" s="729"/>
      <c r="K18" s="706" t="str">
        <f>IF(OR(K8="[Select Device]", K7="[Select Configuration]"), " ", IF(OR(K7 = "Differential without R3'",K7 = "Single-Ended"), 0,1/((1/(K10+K11))+(1/K17))))</f>
        <v xml:space="preserve"> </v>
      </c>
      <c r="L18" s="707"/>
      <c r="AC18" s="25" t="s">
        <v>113</v>
      </c>
      <c r="AD18" s="44" t="e">
        <f>K9/(K10+K11+(1/((1/K17)+(1/(2*K13+K18+AG10)))))</f>
        <v>#VALUE!</v>
      </c>
      <c r="AE18" s="69"/>
      <c r="AF18" s="45" t="s">
        <v>98</v>
      </c>
      <c r="AG18" s="64" t="e">
        <f>ABS((AG15-AG13)/(AG13))</f>
        <v>#VALUE!</v>
      </c>
      <c r="AI18" s="45" t="s">
        <v>175</v>
      </c>
      <c r="AJ18" s="29">
        <f>1/((1/(((AJ17/1000)/K9)*(K10+K11)/(1-((AJ17/1000)/K9))))-(1/(K13+VLOOKUP(K8,Devices[],COLUMN(Devices[Single-Ended Input Resistance]),0))))</f>
        <v>-10.869506143988346</v>
      </c>
      <c r="AP18" s="66">
        <v>13</v>
      </c>
      <c r="AQ18" s="18">
        <f>Table3[[#This Row],[R]]*10</f>
        <v>130</v>
      </c>
      <c r="AR18" s="19">
        <f>Table3[[#This Row],[R2]]*10</f>
        <v>1300</v>
      </c>
      <c r="AS18" s="19">
        <f>Table3[[#This Row],[R3]]*10</f>
        <v>13000</v>
      </c>
      <c r="AT18" s="19">
        <f>Table3[[#This Row],[R4]]*10</f>
        <v>130000</v>
      </c>
      <c r="AU18" s="20">
        <f>Table3[[#This Row],[R]]/10</f>
        <v>1.3</v>
      </c>
      <c r="AV18" s="20">
        <f>Table3[[#This Row],[R6]]/10</f>
        <v>0.13</v>
      </c>
      <c r="AW18" s="20">
        <f>Table3[[#This Row],[R7]]/10</f>
        <v>1.3000000000000001E-2</v>
      </c>
      <c r="AX18" s="20">
        <f>Table3[[#This Row],[R8]]/10</f>
        <v>1.3000000000000002E-3</v>
      </c>
      <c r="AY18" s="20">
        <f>Table3[[#This Row],[R9]]/10</f>
        <v>1.3000000000000002E-4</v>
      </c>
    </row>
    <row r="19" spans="2:51" ht="15" customHeight="1" thickBot="1">
      <c r="B19" s="689"/>
      <c r="C19" s="689"/>
      <c r="D19" s="689"/>
      <c r="G19" s="727" t="s">
        <v>194</v>
      </c>
      <c r="H19" s="728"/>
      <c r="I19" s="728"/>
      <c r="J19" s="729"/>
      <c r="K19" s="708" t="str">
        <f>IF(OR(K8="[Select Device]",K7="[Select Configuration]")," ",IF(OR(K7="Differential without R3'",K7="Single-Ended"),AO10,AO10))</f>
        <v xml:space="preserve"> </v>
      </c>
      <c r="L19" s="709"/>
      <c r="N19" s="721" t="str">
        <f>IF(OR(K8="[Select Device]",K7="[Select Configuration]")," ",IF(K7="Differential without R3'",IF(VLOOKUP(K8, Devices[], COLUMN(Devices[Differential Input Resistance]),0)&lt;23000,"This device has low input impedance and is optimized for current sensing. Please consider using a device with higher input impedance or the differential with R3' configuration to reduce gain errors.", ""),IF(VLOOKUP(K8, Devices[], COLUMN(Devices[Differential Input Resistance]),0)&lt;23000,"This device has low input impedance and is optimized for current sensing. Please consider using a device with higher input impedance.", "")))</f>
        <v xml:space="preserve"> </v>
      </c>
      <c r="O19" s="721"/>
      <c r="P19" s="721"/>
      <c r="Q19" s="721"/>
      <c r="AC19" s="70" t="s">
        <v>114</v>
      </c>
      <c r="AD19" s="71" t="e">
        <f>AD18*K17/(2*K13+K18+AG10)-VLOOKUP(K8, Devices[], COLUMN(Devices[Bias Current]))/1000000</f>
        <v>#VALUE!</v>
      </c>
      <c r="AE19" s="69"/>
      <c r="AF19" s="61" t="s">
        <v>162</v>
      </c>
      <c r="AG19" s="72" t="e">
        <f>MAX(AG16:AG18)</f>
        <v>#VALUE!</v>
      </c>
      <c r="AI19" s="45" t="s">
        <v>176</v>
      </c>
      <c r="AJ19" s="44">
        <f>AO10</f>
        <v>976000</v>
      </c>
      <c r="AP19" s="66">
        <v>13.3</v>
      </c>
      <c r="AQ19" s="18">
        <f>Table3[[#This Row],[R]]*10</f>
        <v>133</v>
      </c>
      <c r="AR19" s="19">
        <f>Table3[[#This Row],[R2]]*10</f>
        <v>1330</v>
      </c>
      <c r="AS19" s="19">
        <f>Table3[[#This Row],[R3]]*10</f>
        <v>13300</v>
      </c>
      <c r="AT19" s="19">
        <f>Table3[[#This Row],[R4]]*10</f>
        <v>133000</v>
      </c>
      <c r="AU19" s="20">
        <f>Table3[[#This Row],[R]]/10</f>
        <v>1.33</v>
      </c>
      <c r="AV19" s="20">
        <f>Table3[[#This Row],[R6]]/10</f>
        <v>0.13300000000000001</v>
      </c>
      <c r="AW19" s="20">
        <f>Table3[[#This Row],[R7]]/10</f>
        <v>1.3300000000000001E-2</v>
      </c>
      <c r="AX19" s="20">
        <f>Table3[[#This Row],[R8]]/10</f>
        <v>1.33E-3</v>
      </c>
      <c r="AY19" s="20">
        <f>Table3[[#This Row],[R9]]/10</f>
        <v>1.3300000000000001E-4</v>
      </c>
    </row>
    <row r="20" spans="2:51" ht="15" customHeight="1" thickBot="1">
      <c r="B20" s="689"/>
      <c r="C20" s="689"/>
      <c r="D20" s="689"/>
      <c r="G20" s="727" t="s">
        <v>195</v>
      </c>
      <c r="H20" s="728"/>
      <c r="I20" s="728"/>
      <c r="J20" s="729"/>
      <c r="K20" s="708" t="str">
        <f>IF(OR(K8="[Select Device]",K7="[Select Configuration]")," ",IF(OR(K7="Differential without R3'",K7="Single-Ended"),0,AO10))</f>
        <v xml:space="preserve"> </v>
      </c>
      <c r="L20" s="709"/>
      <c r="N20" s="721"/>
      <c r="O20" s="721"/>
      <c r="P20" s="721"/>
      <c r="Q20" s="721"/>
      <c r="AC20" s="717" t="s">
        <v>160</v>
      </c>
      <c r="AD20" s="718"/>
      <c r="AF20" s="624" t="s">
        <v>157</v>
      </c>
      <c r="AG20" s="625"/>
      <c r="AI20" s="45" t="s">
        <v>177</v>
      </c>
      <c r="AJ20" s="40">
        <f>AJ19*VLOOKUP(K8,Devices[],COLUMN(Devices[Bias Current]),0)/1000</f>
        <v>0</v>
      </c>
      <c r="AP20" s="66">
        <v>13.7</v>
      </c>
      <c r="AQ20" s="18">
        <f>Table3[[#This Row],[R]]*10</f>
        <v>137</v>
      </c>
      <c r="AR20" s="19">
        <f>Table3[[#This Row],[R2]]*10</f>
        <v>1370</v>
      </c>
      <c r="AS20" s="19">
        <f>Table3[[#This Row],[R3]]*10</f>
        <v>13700</v>
      </c>
      <c r="AT20" s="19">
        <f>Table3[[#This Row],[R4]]*10</f>
        <v>137000</v>
      </c>
      <c r="AU20" s="20">
        <f>Table3[[#This Row],[R]]/10</f>
        <v>1.3699999999999999</v>
      </c>
      <c r="AV20" s="20">
        <f>Table3[[#This Row],[R6]]/10</f>
        <v>0.13699999999999998</v>
      </c>
      <c r="AW20" s="20">
        <f>Table3[[#This Row],[R7]]/10</f>
        <v>1.3699999999999999E-2</v>
      </c>
      <c r="AX20" s="20">
        <f>Table3[[#This Row],[R8]]/10</f>
        <v>1.3699999999999999E-3</v>
      </c>
      <c r="AY20" s="20">
        <f>Table3[[#This Row],[R9]]/10</f>
        <v>1.37E-4</v>
      </c>
    </row>
    <row r="21" spans="2:51" ht="15" customHeight="1" thickBot="1">
      <c r="B21" s="689"/>
      <c r="C21" s="689"/>
      <c r="D21" s="689"/>
      <c r="G21" s="727" t="s">
        <v>198</v>
      </c>
      <c r="H21" s="728"/>
      <c r="I21" s="728"/>
      <c r="J21" s="729"/>
      <c r="K21" s="736" t="str">
        <f>IF(OR(K8="[Select Device]",K7="[Select Configuration]")," ",IF(K7="Single-Ended",1/(2*3.14*K13*K14*0.000001),1/((2*3.14*2*K13*K14*0.000001))))</f>
        <v xml:space="preserve"> </v>
      </c>
      <c r="L21" s="737"/>
      <c r="N21" s="722" t="str">
        <f>IF(AJ13&lt;0,"Invalid inputs. Increase Peak High Voltage or reduce R1 &amp; R2 resistance.","")</f>
        <v/>
      </c>
      <c r="O21" s="722"/>
      <c r="P21" s="722"/>
      <c r="Q21" s="722"/>
      <c r="AC21" s="73" t="s">
        <v>151</v>
      </c>
      <c r="AD21" s="35" t="e">
        <f>(AG10/(2*K13+AG10))</f>
        <v>#VALUE!</v>
      </c>
      <c r="AF21" s="25" t="e">
        <f>1-Temp_Range*10^-6*G42</f>
        <v>#VALUE!</v>
      </c>
      <c r="AG21" s="44" t="e">
        <f>AG9*AF21</f>
        <v>#VALUE!</v>
      </c>
      <c r="AI21" s="25" t="s">
        <v>179</v>
      </c>
      <c r="AJ21" s="29">
        <f>1/((1/$AJ$19)+(1/($K$13+VLOOKUP($K$8,Devices[],COLUMN(Devices[Single-Ended Input Resistance]),0))))</f>
        <v>9.9998975420333807</v>
      </c>
      <c r="AP21" s="66">
        <v>14</v>
      </c>
      <c r="AQ21" s="18">
        <f>Table3[[#This Row],[R]]*10</f>
        <v>140</v>
      </c>
      <c r="AR21" s="19">
        <f>Table3[[#This Row],[R2]]*10</f>
        <v>1400</v>
      </c>
      <c r="AS21" s="19">
        <f>Table3[[#This Row],[R3]]*10</f>
        <v>14000</v>
      </c>
      <c r="AT21" s="19">
        <f>Table3[[#This Row],[R4]]*10</f>
        <v>140000</v>
      </c>
      <c r="AU21" s="20">
        <f>Table3[[#This Row],[R]]/10</f>
        <v>1.4</v>
      </c>
      <c r="AV21" s="20">
        <f>Table3[[#This Row],[R6]]/10</f>
        <v>0.13999999999999999</v>
      </c>
      <c r="AW21" s="20">
        <f>Table3[[#This Row],[R7]]/10</f>
        <v>1.3999999999999999E-2</v>
      </c>
      <c r="AX21" s="20">
        <f>Table3[[#This Row],[R8]]/10</f>
        <v>1.3999999999999998E-3</v>
      </c>
      <c r="AY21" s="20">
        <f>Table3[[#This Row],[R9]]/10</f>
        <v>1.3999999999999999E-4</v>
      </c>
    </row>
    <row r="22" spans="2:51" ht="15" customHeight="1" thickBot="1">
      <c r="B22" s="689"/>
      <c r="C22" s="689"/>
      <c r="D22" s="689"/>
      <c r="G22" s="727" t="s">
        <v>38</v>
      </c>
      <c r="H22" s="728"/>
      <c r="I22" s="728"/>
      <c r="J22" s="729"/>
      <c r="K22" s="738" t="str">
        <f>IF(OR(K8="[Select Device]", K7="[Select Configuration]"), " ", ((K9)^2/(K10+K11+K17))*10^3)</f>
        <v xml:space="preserve"> </v>
      </c>
      <c r="L22" s="739"/>
      <c r="N22" s="723" t="str">
        <f>IF(K15&lt;VLOOKUP(K8, Devices[], COLUMN(Devices[Temp Min]), 0), " Input exceeds recommended minimum operating  temperature.","")</f>
        <v/>
      </c>
      <c r="O22" s="723"/>
      <c r="P22" s="723"/>
      <c r="Q22" s="723"/>
      <c r="AC22" s="45" t="s">
        <v>93</v>
      </c>
      <c r="AD22" s="44" t="e">
        <f>(AG9/(2*K13+AG9))</f>
        <v>#VALUE!</v>
      </c>
      <c r="AF22" s="25" t="e">
        <f>1+Temp_Range*10^-6*G42</f>
        <v>#VALUE!</v>
      </c>
      <c r="AG22" s="44" t="e">
        <f>AG11*AF22</f>
        <v>#VALUE!</v>
      </c>
      <c r="AI22" s="25" t="s">
        <v>180</v>
      </c>
      <c r="AJ22" s="44">
        <f>$K$9/($K$10+$K$11+$AJ$21)</f>
        <v>3.9999800003049133E-4</v>
      </c>
      <c r="AP22" s="74">
        <v>14.3</v>
      </c>
      <c r="AQ22" s="18">
        <f>Table3[[#This Row],[R]]*10</f>
        <v>143</v>
      </c>
      <c r="AR22" s="19">
        <f>Table3[[#This Row],[R2]]*10</f>
        <v>1430</v>
      </c>
      <c r="AS22" s="19">
        <f>Table3[[#This Row],[R3]]*10</f>
        <v>14300</v>
      </c>
      <c r="AT22" s="19">
        <f>Table3[[#This Row],[R4]]*10</f>
        <v>143000</v>
      </c>
      <c r="AU22" s="20">
        <f>Table3[[#This Row],[R]]/10</f>
        <v>1.4300000000000002</v>
      </c>
      <c r="AV22" s="20">
        <f>Table3[[#This Row],[R6]]/10</f>
        <v>0.14300000000000002</v>
      </c>
      <c r="AW22" s="20">
        <f>Table3[[#This Row],[R7]]/10</f>
        <v>1.4300000000000002E-2</v>
      </c>
      <c r="AX22" s="20">
        <f>Table3[[#This Row],[R8]]/10</f>
        <v>1.4300000000000003E-3</v>
      </c>
      <c r="AY22" s="20">
        <f>Table3[[#This Row],[R9]]/10</f>
        <v>1.4300000000000003E-4</v>
      </c>
    </row>
    <row r="23" spans="2:51" ht="15" customHeight="1" thickBot="1">
      <c r="B23" s="689"/>
      <c r="C23" s="689"/>
      <c r="D23" s="689"/>
      <c r="G23" s="727" t="s">
        <v>201</v>
      </c>
      <c r="H23" s="728"/>
      <c r="I23" s="728"/>
      <c r="J23" s="729"/>
      <c r="K23" s="734" t="str">
        <f>IF(OR(K8="[Select Device]",K7="[Select Configuration]")," ",AG15)</f>
        <v xml:space="preserve"> </v>
      </c>
      <c r="L23" s="735"/>
      <c r="N23" s="723" t="str">
        <f>IF(K16&gt;VLOOKUP(K8, Devices[], COLUMN(Devices[Temp Max]), 0), " Input exceeds recommended maximum operating temperature.", "")</f>
        <v/>
      </c>
      <c r="O23" s="723"/>
      <c r="P23" s="723"/>
      <c r="Q23" s="723"/>
      <c r="AC23" s="45" t="s">
        <v>102</v>
      </c>
      <c r="AD23" s="44" t="e">
        <f>(AG21/(2*K13+AG21))</f>
        <v>#VALUE!</v>
      </c>
      <c r="AF23" s="25"/>
      <c r="AG23" s="44"/>
      <c r="AI23" s="25" t="s">
        <v>181</v>
      </c>
      <c r="AJ23" s="40">
        <f>$AJ$21*$AJ$22*1000</f>
        <v>3.9999390173231788</v>
      </c>
      <c r="AP23" s="58">
        <v>14.7</v>
      </c>
      <c r="AQ23" s="18">
        <f>Table3[[#This Row],[R]]*10</f>
        <v>147</v>
      </c>
      <c r="AR23" s="19">
        <f>Table3[[#This Row],[R2]]*10</f>
        <v>1470</v>
      </c>
      <c r="AS23" s="19">
        <f>Table3[[#This Row],[R3]]*10</f>
        <v>14700</v>
      </c>
      <c r="AT23" s="19">
        <f>Table3[[#This Row],[R4]]*10</f>
        <v>147000</v>
      </c>
      <c r="AU23" s="20">
        <f>Table3[[#This Row],[R]]/10</f>
        <v>1.47</v>
      </c>
      <c r="AV23" s="20">
        <f>Table3[[#This Row],[R6]]/10</f>
        <v>0.14699999999999999</v>
      </c>
      <c r="AW23" s="20">
        <f>Table3[[#This Row],[R7]]/10</f>
        <v>1.47E-2</v>
      </c>
      <c r="AX23" s="20">
        <f>Table3[[#This Row],[R8]]/10</f>
        <v>1.47E-3</v>
      </c>
      <c r="AY23" s="20">
        <f>Table3[[#This Row],[R9]]/10</f>
        <v>1.47E-4</v>
      </c>
    </row>
    <row r="24" spans="2:51" ht="15" customHeight="1" thickBot="1">
      <c r="B24" s="689"/>
      <c r="C24" s="689"/>
      <c r="D24" s="689"/>
      <c r="G24" s="727" t="s">
        <v>202</v>
      </c>
      <c r="H24" s="728"/>
      <c r="I24" s="728"/>
      <c r="J24" s="729"/>
      <c r="K24" s="734" t="str">
        <f>IF(OR(K8="[Select Device]",K7="[Select Configuration]")," ",AG14)</f>
        <v xml:space="preserve"> </v>
      </c>
      <c r="L24" s="735"/>
      <c r="AC24" s="45" t="s">
        <v>92</v>
      </c>
      <c r="AD24" s="44" t="e">
        <f>(AG11/(2*K13+AG11))</f>
        <v>#VALUE!</v>
      </c>
      <c r="AF24" s="25" t="s">
        <v>103</v>
      </c>
      <c r="AG24" s="48" t="e">
        <f>IF(OR(K7="Differential without R3'",K7="Single-Ended"),AJ46,(AE14*K9+AD19*K13)*1000)</f>
        <v>#VALUE!</v>
      </c>
      <c r="AI24" s="75" t="s">
        <v>182</v>
      </c>
      <c r="AJ24" s="76">
        <f>$AJ$23+$AJ$20</f>
        <v>3.9999390173231788</v>
      </c>
      <c r="AP24" s="66">
        <v>15</v>
      </c>
      <c r="AQ24" s="18">
        <f>Table3[[#This Row],[R]]*10</f>
        <v>150</v>
      </c>
      <c r="AR24" s="19">
        <f>Table3[[#This Row],[R2]]*10</f>
        <v>1500</v>
      </c>
      <c r="AS24" s="19">
        <f>Table3[[#This Row],[R3]]*10</f>
        <v>15000</v>
      </c>
      <c r="AT24" s="19">
        <f>Table3[[#This Row],[R4]]*10</f>
        <v>150000</v>
      </c>
      <c r="AU24" s="20">
        <f>Table3[[#This Row],[R]]/10</f>
        <v>1.5</v>
      </c>
      <c r="AV24" s="20">
        <f>Table3[[#This Row],[R6]]/10</f>
        <v>0.15</v>
      </c>
      <c r="AW24" s="20">
        <f>Table3[[#This Row],[R7]]/10</f>
        <v>1.4999999999999999E-2</v>
      </c>
      <c r="AX24" s="20">
        <f>Table3[[#This Row],[R8]]/10</f>
        <v>1.5E-3</v>
      </c>
      <c r="AY24" s="20">
        <f>Table3[[#This Row],[R9]]/10</f>
        <v>1.5000000000000001E-4</v>
      </c>
    </row>
    <row r="25" spans="2:51" ht="15" customHeight="1" thickBot="1">
      <c r="B25" s="77"/>
      <c r="C25" s="77"/>
      <c r="D25" s="77"/>
      <c r="G25" s="727" t="s">
        <v>107</v>
      </c>
      <c r="H25" s="728"/>
      <c r="I25" s="728"/>
      <c r="J25" s="729"/>
      <c r="K25" s="734" t="str">
        <f>IF(OR(K8="[Select Device]",K7="[Select Configuration]")," ",AG25)</f>
        <v xml:space="preserve"> </v>
      </c>
      <c r="L25" s="735"/>
      <c r="AC25" s="61" t="s">
        <v>105</v>
      </c>
      <c r="AD25" s="42" t="e">
        <f>(AG22/(2*K13+AG22))</f>
        <v>#VALUE!</v>
      </c>
      <c r="AF25" s="70" t="s">
        <v>106</v>
      </c>
      <c r="AG25" s="48" t="e">
        <f>IF(OR(K7="Differential without R3'",K7="Single-Ended"),AJ40,(AE16*K9+AD19*K13)*1000)</f>
        <v>#VALUE!</v>
      </c>
      <c r="AI25" s="624" t="s">
        <v>143</v>
      </c>
      <c r="AJ25" s="625"/>
      <c r="AP25" s="66">
        <v>15.4</v>
      </c>
      <c r="AQ25" s="18">
        <f>Table3[[#This Row],[R]]*10</f>
        <v>154</v>
      </c>
      <c r="AR25" s="19">
        <f>Table3[[#This Row],[R2]]*10</f>
        <v>1540</v>
      </c>
      <c r="AS25" s="19">
        <f>Table3[[#This Row],[R3]]*10</f>
        <v>15400</v>
      </c>
      <c r="AT25" s="19">
        <f>Table3[[#This Row],[R4]]*10</f>
        <v>154000</v>
      </c>
      <c r="AU25" s="20">
        <f>Table3[[#This Row],[R]]/10</f>
        <v>1.54</v>
      </c>
      <c r="AV25" s="20">
        <f>Table3[[#This Row],[R6]]/10</f>
        <v>0.154</v>
      </c>
      <c r="AW25" s="20">
        <f>Table3[[#This Row],[R7]]/10</f>
        <v>1.54E-2</v>
      </c>
      <c r="AX25" s="20">
        <f>Table3[[#This Row],[R8]]/10</f>
        <v>1.5400000000000001E-3</v>
      </c>
      <c r="AY25" s="20">
        <f>Table3[[#This Row],[R9]]/10</f>
        <v>1.54E-4</v>
      </c>
    </row>
    <row r="26" spans="2:51" ht="15" customHeight="1" thickBot="1">
      <c r="B26" s="78" t="str">
        <f>IF(K7="Differential without R3'","Above: A sample diagram of a circuit with an AMC1300B device.",IF(K7="Differential with R3'","Above: A sample diagram of a circuit with an AMC1300B device."," "))</f>
        <v xml:space="preserve"> </v>
      </c>
      <c r="E26" s="79"/>
      <c r="G26" s="727" t="s">
        <v>104</v>
      </c>
      <c r="H26" s="728"/>
      <c r="I26" s="728"/>
      <c r="J26" s="729"/>
      <c r="K26" s="734" t="str">
        <f>IF(OR(K8="[Select Device]",K7="[Select Configuration]")," ",AG24)</f>
        <v xml:space="preserve"> </v>
      </c>
      <c r="L26" s="735"/>
      <c r="AF26" s="624" t="s">
        <v>159</v>
      </c>
      <c r="AG26" s="625"/>
      <c r="AI26" s="34" t="s">
        <v>120</v>
      </c>
      <c r="AJ26" s="35">
        <f>1/((1/$AJ$19)+(1/($K$13+AG29)))</f>
        <v>9.9998975420333807</v>
      </c>
      <c r="AP26" s="66">
        <v>15.8</v>
      </c>
      <c r="AQ26" s="18">
        <f>Table3[[#This Row],[R]]*10</f>
        <v>158</v>
      </c>
      <c r="AR26" s="19">
        <f>Table3[[#This Row],[R2]]*10</f>
        <v>1580</v>
      </c>
      <c r="AS26" s="19">
        <f>Table3[[#This Row],[R3]]*10</f>
        <v>15800</v>
      </c>
      <c r="AT26" s="19">
        <f>Table3[[#This Row],[R4]]*10</f>
        <v>158000</v>
      </c>
      <c r="AU26" s="20">
        <f>Table3[[#This Row],[R]]/10</f>
        <v>1.58</v>
      </c>
      <c r="AV26" s="20">
        <f>Table3[[#This Row],[R6]]/10</f>
        <v>0.158</v>
      </c>
      <c r="AW26" s="20">
        <f>Table3[[#This Row],[R7]]/10</f>
        <v>1.5800000000000002E-2</v>
      </c>
      <c r="AX26" s="20">
        <f>Table3[[#This Row],[R8]]/10</f>
        <v>1.5800000000000002E-3</v>
      </c>
      <c r="AY26" s="20">
        <f>Table3[[#This Row],[R9]]/10</f>
        <v>1.5800000000000002E-4</v>
      </c>
    </row>
    <row r="27" spans="2:51" ht="15" customHeight="1" thickBot="1">
      <c r="B27" s="78" t="str">
        <f>IF(K7="Differential without R3'","Note that all errors are output referred to the Full-Scale (FS) output value in cell J31",IF(K7="Differential with R3'","Note that all errors are output referred to the Full-Scale (FS) output value in cell J31"," "))</f>
        <v xml:space="preserve"> </v>
      </c>
      <c r="C27" s="77"/>
      <c r="D27" s="77"/>
      <c r="E27" s="80"/>
      <c r="G27" s="763" t="s">
        <v>362</v>
      </c>
      <c r="H27" s="764"/>
      <c r="I27" s="764"/>
      <c r="J27" s="765"/>
      <c r="K27" s="773" t="str">
        <f>IF(ISERROR(K9/(K10+K19)*1000000), "", K9/(K10+K19)*1000000)</f>
        <v/>
      </c>
      <c r="L27" s="774"/>
      <c r="AF27" s="25" t="s">
        <v>146</v>
      </c>
      <c r="AG27" s="44">
        <f>AG28*0.85</f>
        <v>0</v>
      </c>
      <c r="AI27" s="25" t="s">
        <v>122</v>
      </c>
      <c r="AJ27" s="44">
        <f>$K$9/($K$10+$K$11+$AJ$26)</f>
        <v>3.9999800003049133E-4</v>
      </c>
      <c r="AP27" s="66">
        <v>16.2</v>
      </c>
      <c r="AQ27" s="18">
        <f>Table3[[#This Row],[R]]*10</f>
        <v>162</v>
      </c>
      <c r="AR27" s="19">
        <f>Table3[[#This Row],[R2]]*10</f>
        <v>1620</v>
      </c>
      <c r="AS27" s="19">
        <f>Table3[[#This Row],[R3]]*10</f>
        <v>16200</v>
      </c>
      <c r="AT27" s="19">
        <f>Table3[[#This Row],[R4]]*10</f>
        <v>162000</v>
      </c>
      <c r="AU27" s="20">
        <f>Table3[[#This Row],[R]]/10</f>
        <v>1.6199999999999999</v>
      </c>
      <c r="AV27" s="20">
        <f>Table3[[#This Row],[R6]]/10</f>
        <v>0.16199999999999998</v>
      </c>
      <c r="AW27" s="20">
        <f>Table3[[#This Row],[R7]]/10</f>
        <v>1.6199999999999999E-2</v>
      </c>
      <c r="AX27" s="20">
        <f>Table3[[#This Row],[R8]]/10</f>
        <v>1.6199999999999999E-3</v>
      </c>
      <c r="AY27" s="20">
        <f>Table3[[#This Row],[R9]]/10</f>
        <v>1.6199999999999998E-4</v>
      </c>
    </row>
    <row r="28" spans="2:51" ht="15" customHeight="1" thickBot="1">
      <c r="B28" s="78" t="str">
        <f>IF(K7="Differential without R3'","This circuit does not include R3' which eliminates the offset error caused by input bias current flowing through R3.",IF(K7="Differential with R3'","This assumes the circuit includes R3' which removes the offset error created by the input bias current flowing through R3."," "))</f>
        <v xml:space="preserve"> </v>
      </c>
      <c r="AF28" s="25" t="s">
        <v>147</v>
      </c>
      <c r="AG28" s="44">
        <f>VLOOKUP($K$8,Devices[],COLUMN(Devices[Single-Ended Input Resistance]),0)</f>
        <v>0</v>
      </c>
      <c r="AI28" s="25" t="s">
        <v>121</v>
      </c>
      <c r="AJ28" s="40">
        <f>$AJ$26*$AJ$27*1000</f>
        <v>3.9999390173231788</v>
      </c>
      <c r="AP28" s="66">
        <v>16.5</v>
      </c>
      <c r="AQ28" s="18">
        <f>Table3[[#This Row],[R]]*10</f>
        <v>165</v>
      </c>
      <c r="AR28" s="19">
        <f>Table3[[#This Row],[R2]]*10</f>
        <v>1650</v>
      </c>
      <c r="AS28" s="19">
        <f>Table3[[#This Row],[R3]]*10</f>
        <v>16500</v>
      </c>
      <c r="AT28" s="19">
        <f>Table3[[#This Row],[R4]]*10</f>
        <v>165000</v>
      </c>
      <c r="AU28" s="20">
        <f>Table3[[#This Row],[R]]/10</f>
        <v>1.65</v>
      </c>
      <c r="AV28" s="20">
        <f>Table3[[#This Row],[R6]]/10</f>
        <v>0.16499999999999998</v>
      </c>
      <c r="AW28" s="20">
        <f>Table3[[#This Row],[R7]]/10</f>
        <v>1.6499999999999997E-2</v>
      </c>
      <c r="AX28" s="20">
        <f>Table3[[#This Row],[R8]]/10</f>
        <v>1.6499999999999998E-3</v>
      </c>
      <c r="AY28" s="20">
        <f>Table3[[#This Row],[R9]]/10</f>
        <v>1.6499999999999997E-4</v>
      </c>
    </row>
    <row r="29" spans="2:51" ht="15" customHeight="1" thickBot="1">
      <c r="B29" s="24"/>
      <c r="C29" s="24"/>
      <c r="AC29" s="717" t="s">
        <v>191</v>
      </c>
      <c r="AD29" s="718"/>
      <c r="AF29" s="25" t="s">
        <v>148</v>
      </c>
      <c r="AG29" s="44">
        <f>AG28*1.15</f>
        <v>0</v>
      </c>
      <c r="AI29" s="75" t="s">
        <v>123</v>
      </c>
      <c r="AJ29" s="40">
        <f>$AJ$28+$AJ$20</f>
        <v>3.9999390173231788</v>
      </c>
      <c r="AP29" s="66">
        <v>16.899999999999999</v>
      </c>
      <c r="AQ29" s="18">
        <f>Table3[[#This Row],[R]]*10</f>
        <v>169</v>
      </c>
      <c r="AR29" s="19">
        <f>Table3[[#This Row],[R2]]*10</f>
        <v>1690</v>
      </c>
      <c r="AS29" s="19">
        <f>Table3[[#This Row],[R3]]*10</f>
        <v>16900</v>
      </c>
      <c r="AT29" s="19">
        <f>Table3[[#This Row],[R4]]*10</f>
        <v>169000</v>
      </c>
      <c r="AU29" s="20">
        <f>Table3[[#This Row],[R]]/10</f>
        <v>1.69</v>
      </c>
      <c r="AV29" s="20">
        <f>Table3[[#This Row],[R6]]/10</f>
        <v>0.16899999999999998</v>
      </c>
      <c r="AW29" s="20">
        <f>Table3[[#This Row],[R7]]/10</f>
        <v>1.6899999999999998E-2</v>
      </c>
      <c r="AX29" s="20">
        <f>Table3[[#This Row],[R8]]/10</f>
        <v>1.6899999999999999E-3</v>
      </c>
      <c r="AY29" s="20">
        <f>Table3[[#This Row],[R9]]/10</f>
        <v>1.6899999999999999E-4</v>
      </c>
    </row>
    <row r="30" spans="2:51" ht="24.95" customHeight="1" thickBot="1">
      <c r="B30" s="693" t="str">
        <f>K8&amp;" Error Calculation Across Temperature (" &amp; K15 &amp; "°C to + " &amp; K16 &amp; "°C)"</f>
        <v>[Select Device] Error Calculation Across Temperature (-40°C to + 125°C)</v>
      </c>
      <c r="C30" s="694"/>
      <c r="D30" s="694"/>
      <c r="E30" s="694"/>
      <c r="F30" s="694"/>
      <c r="G30" s="694"/>
      <c r="H30" s="694"/>
      <c r="I30" s="694"/>
      <c r="J30" s="694"/>
      <c r="K30" s="694"/>
      <c r="L30" s="695"/>
      <c r="N30" s="81" t="s">
        <v>112</v>
      </c>
      <c r="AC30" s="719" t="e">
        <f>E31*1.1</f>
        <v>#VALUE!</v>
      </c>
      <c r="AD30" s="720"/>
      <c r="AF30" s="25" t="s">
        <v>149</v>
      </c>
      <c r="AG30" s="44" t="e">
        <f>AG27*AF21</f>
        <v>#VALUE!</v>
      </c>
      <c r="AI30" s="624" t="s">
        <v>142</v>
      </c>
      <c r="AJ30" s="625"/>
      <c r="AP30" s="74">
        <v>17.399999999999999</v>
      </c>
      <c r="AQ30" s="18">
        <f>Table3[[#This Row],[R]]*10</f>
        <v>174</v>
      </c>
      <c r="AR30" s="19">
        <f>Table3[[#This Row],[R2]]*10</f>
        <v>1740</v>
      </c>
      <c r="AS30" s="19">
        <f>Table3[[#This Row],[R3]]*10</f>
        <v>17400</v>
      </c>
      <c r="AT30" s="19">
        <f>Table3[[#This Row],[R4]]*10</f>
        <v>174000</v>
      </c>
      <c r="AU30" s="20">
        <f>Table3[[#This Row],[R]]/10</f>
        <v>1.7399999999999998</v>
      </c>
      <c r="AV30" s="20">
        <f>Table3[[#This Row],[R6]]/10</f>
        <v>0.17399999999999999</v>
      </c>
      <c r="AW30" s="20">
        <f>Table3[[#This Row],[R7]]/10</f>
        <v>1.7399999999999999E-2</v>
      </c>
      <c r="AX30" s="20">
        <f>Table3[[#This Row],[R8]]/10</f>
        <v>1.7399999999999998E-3</v>
      </c>
      <c r="AY30" s="20">
        <f>Table3[[#This Row],[R9]]/10</f>
        <v>1.7399999999999997E-4</v>
      </c>
    </row>
    <row r="31" spans="2:51" ht="15" customHeight="1" thickBot="1">
      <c r="B31" s="746" t="s">
        <v>39</v>
      </c>
      <c r="C31" s="747"/>
      <c r="D31" s="747"/>
      <c r="E31" s="750" t="str">
        <f>IF(OR(K8="[Select Device]", K8=" "), " ", VLOOKUP(K8, Devices[], COLUMN(Devices[±Input Voltage Range]),0))</f>
        <v xml:space="preserve"> </v>
      </c>
      <c r="F31" s="751"/>
      <c r="G31" s="767" t="s">
        <v>375</v>
      </c>
      <c r="H31" s="767"/>
      <c r="I31" s="770" t="s">
        <v>376</v>
      </c>
      <c r="J31" s="768"/>
      <c r="K31" s="767" t="s">
        <v>377</v>
      </c>
      <c r="L31" s="768"/>
      <c r="N31" s="81"/>
      <c r="AC31" s="57"/>
      <c r="AD31" s="57"/>
      <c r="AF31" s="25"/>
      <c r="AG31" s="44"/>
      <c r="AI31" s="82"/>
      <c r="AJ31" s="83"/>
      <c r="AP31" s="84"/>
      <c r="AQ31" s="85">
        <f>Table3[[#This Row],[R]]*10</f>
        <v>0</v>
      </c>
      <c r="AR31" s="20">
        <f>Table3[[#This Row],[R2]]*10</f>
        <v>0</v>
      </c>
      <c r="AS31" s="20">
        <f>Table3[[#This Row],[R3]]*10</f>
        <v>0</v>
      </c>
      <c r="AT31" s="20">
        <f>Table3[[#This Row],[R]]/10</f>
        <v>0</v>
      </c>
      <c r="AU31" s="20">
        <f>Table3[[#This Row],[R5]]/10</f>
        <v>0</v>
      </c>
      <c r="AV31" s="20">
        <f>Table3[[#This Row],[R6]]/10</f>
        <v>0</v>
      </c>
      <c r="AW31" s="20">
        <f>Table3[[#This Row],[R7]]/10</f>
        <v>0</v>
      </c>
      <c r="AX31" s="20">
        <f>Table3[[#This Row],[R8]]/10</f>
        <v>0</v>
      </c>
      <c r="AY31" s="20">
        <f>Table3[[#This Row],[R9]]/10</f>
        <v>0</v>
      </c>
    </row>
    <row r="32" spans="2:51" ht="15" customHeight="1" thickBot="1">
      <c r="B32" s="748"/>
      <c r="C32" s="749"/>
      <c r="D32" s="749"/>
      <c r="E32" s="752"/>
      <c r="F32" s="753"/>
      <c r="G32" s="769" t="str">
        <f>IF(OR(K8="[Select Device]",K7="[Select Configuration]")," ",IF(OR(K7="Differential without R3'",K7="Single-Ended"),AJ24,AG13))</f>
        <v xml:space="preserve"> </v>
      </c>
      <c r="H32" s="769"/>
      <c r="I32" s="771" t="str">
        <f>IF(OR(K8="[Select Device]",K7="[Select Configuration]")," ",G32-K43/VLOOKUP(K8,Devices[],COLUMN(Devices[Gain]),0))</f>
        <v xml:space="preserve"> </v>
      </c>
      <c r="J32" s="772"/>
      <c r="K32" s="775" t="str">
        <f>IF(OR(K8="[Select Device]",K7="[Select Configuration]")," ",G32/1000*VLOOKUP(K8,Devices[],COLUMN(Devices[Gain]),0))</f>
        <v xml:space="preserve"> </v>
      </c>
      <c r="L32" s="776"/>
      <c r="AF32" s="70" t="s">
        <v>150</v>
      </c>
      <c r="AG32" s="42" t="e">
        <f>AG29*AF22</f>
        <v>#VALUE!</v>
      </c>
      <c r="AI32" s="34" t="s">
        <v>120</v>
      </c>
      <c r="AJ32" s="35">
        <f>1/((1/$AJ$19)+(1/($K$13+AG27)))</f>
        <v>9.9998975420333807</v>
      </c>
      <c r="AP32" s="58">
        <v>17.8</v>
      </c>
      <c r="AQ32" s="18">
        <f>Table3[[#This Row],[R]]*10</f>
        <v>178</v>
      </c>
      <c r="AR32" s="19">
        <f>Table3[[#This Row],[R2]]*10</f>
        <v>1780</v>
      </c>
      <c r="AS32" s="19">
        <f>Table3[[#This Row],[R3]]*10</f>
        <v>17800</v>
      </c>
      <c r="AT32" s="19">
        <f>Table3[[#This Row],[R4]]*10</f>
        <v>178000</v>
      </c>
      <c r="AU32" s="20">
        <f>Table3[[#This Row],[R]]/10</f>
        <v>1.78</v>
      </c>
      <c r="AV32" s="20">
        <f>Table3[[#This Row],[R6]]/10</f>
        <v>0.17799999999999999</v>
      </c>
      <c r="AW32" s="20">
        <f>Table3[[#This Row],[R7]]/10</f>
        <v>1.78E-2</v>
      </c>
      <c r="AX32" s="20">
        <f>Table3[[#This Row],[R8]]/10</f>
        <v>1.7799999999999999E-3</v>
      </c>
      <c r="AY32" s="20">
        <f>Table3[[#This Row],[R9]]/10</f>
        <v>1.7799999999999999E-4</v>
      </c>
    </row>
    <row r="33" spans="2:51" ht="20.100000000000001" customHeight="1" thickBot="1">
      <c r="B33" s="754" t="s">
        <v>0</v>
      </c>
      <c r="C33" s="755"/>
      <c r="D33" s="756"/>
      <c r="E33" s="740" t="s">
        <v>23</v>
      </c>
      <c r="F33" s="741"/>
      <c r="G33" s="740" t="s">
        <v>24</v>
      </c>
      <c r="H33" s="741"/>
      <c r="I33" s="740" t="s">
        <v>367</v>
      </c>
      <c r="J33" s="741"/>
      <c r="K33" s="740" t="s">
        <v>366</v>
      </c>
      <c r="L33" s="741"/>
      <c r="N33" s="86" t="s">
        <v>365</v>
      </c>
      <c r="AI33" s="25" t="s">
        <v>122</v>
      </c>
      <c r="AJ33" s="44">
        <f>$K$9/($K$10+$K$11+$AJ$32)</f>
        <v>3.9999800003049133E-4</v>
      </c>
      <c r="AP33" s="66">
        <v>18.2</v>
      </c>
      <c r="AQ33" s="18">
        <f>Table3[[#This Row],[R]]*10</f>
        <v>182</v>
      </c>
      <c r="AR33" s="19">
        <f>Table3[[#This Row],[R2]]*10</f>
        <v>1820</v>
      </c>
      <c r="AS33" s="19">
        <f>Table3[[#This Row],[R3]]*10</f>
        <v>18200</v>
      </c>
      <c r="AT33" s="19">
        <f>Table3[[#This Row],[R4]]*10</f>
        <v>182000</v>
      </c>
      <c r="AU33" s="20">
        <f>Table3[[#This Row],[R]]/10</f>
        <v>1.8199999999999998</v>
      </c>
      <c r="AV33" s="20">
        <f>Table3[[#This Row],[R6]]/10</f>
        <v>0.182</v>
      </c>
      <c r="AW33" s="20">
        <f>Table3[[#This Row],[R7]]/10</f>
        <v>1.8200000000000001E-2</v>
      </c>
      <c r="AX33" s="20">
        <f>Table3[[#This Row],[R8]]/10</f>
        <v>1.82E-3</v>
      </c>
      <c r="AY33" s="20">
        <f>Table3[[#This Row],[R9]]/10</f>
        <v>1.8200000000000001E-4</v>
      </c>
    </row>
    <row r="34" spans="2:51" ht="15" customHeight="1" thickBot="1">
      <c r="B34" s="672" t="s">
        <v>185</v>
      </c>
      <c r="C34" s="673"/>
      <c r="D34" s="674"/>
      <c r="E34" s="742" t="str">
        <f>IF(K7="[Select Configuration]", " ", IF(K8="[Select Device]", "  ", VLOOKUP(K8, Devices[], COLUMN(Devices[Gain Error Typ]), 0)))</f>
        <v xml:space="preserve"> </v>
      </c>
      <c r="F34" s="743"/>
      <c r="G34" s="742" t="str">
        <f>IF(K7="[Select Configuration]", " ", IF(K8="[Select Device]", " ", VLOOKUP(K8, Devices[], COLUMN(Devices[Gain Error Max]), 0)))</f>
        <v xml:space="preserve"> </v>
      </c>
      <c r="H34" s="743"/>
      <c r="I34" s="656" t="str">
        <f>IF(OR(K8="[Select Device]", K7="[Select Configuration]")," ", (E34*K32)*1000)</f>
        <v xml:space="preserve"> </v>
      </c>
      <c r="J34" s="657"/>
      <c r="K34" s="656" t="str">
        <f>IF(OR(K8="[Select Device]",K7="[Select Configuration]")," ",(G34*K32)*1000)</f>
        <v xml:space="preserve"> </v>
      </c>
      <c r="L34" s="766"/>
      <c r="N34" s="673"/>
      <c r="O34" s="673"/>
      <c r="P34" s="673"/>
      <c r="Q34" s="673"/>
      <c r="R34" s="673"/>
      <c r="S34" s="673"/>
      <c r="AF34" s="624" t="s">
        <v>300</v>
      </c>
      <c r="AG34" s="625"/>
      <c r="AI34" s="25" t="s">
        <v>121</v>
      </c>
      <c r="AJ34" s="40">
        <f>$AJ$32*$AJ$33*1000</f>
        <v>3.9999390173231788</v>
      </c>
      <c r="AP34" s="66">
        <v>18.7</v>
      </c>
      <c r="AQ34" s="18">
        <f>Table3[[#This Row],[R]]*10</f>
        <v>187</v>
      </c>
      <c r="AR34" s="19">
        <f>Table3[[#This Row],[R2]]*10</f>
        <v>1870</v>
      </c>
      <c r="AS34" s="19">
        <f>Table3[[#This Row],[R3]]*10</f>
        <v>18700</v>
      </c>
      <c r="AT34" s="19">
        <f>Table3[[#This Row],[R4]]*10</f>
        <v>187000</v>
      </c>
      <c r="AU34" s="20">
        <f>Table3[[#This Row],[R]]/10</f>
        <v>1.8699999999999999</v>
      </c>
      <c r="AV34" s="20">
        <f>Table3[[#This Row],[R6]]/10</f>
        <v>0.187</v>
      </c>
      <c r="AW34" s="20">
        <f>Table3[[#This Row],[R7]]/10</f>
        <v>1.8700000000000001E-2</v>
      </c>
      <c r="AX34" s="20">
        <f>Table3[[#This Row],[R8]]/10</f>
        <v>1.8700000000000001E-3</v>
      </c>
      <c r="AY34" s="20">
        <f>Table3[[#This Row],[R9]]/10</f>
        <v>1.8700000000000002E-4</v>
      </c>
    </row>
    <row r="35" spans="2:51" ht="15" customHeight="1" thickBot="1">
      <c r="B35" s="672" t="s">
        <v>186</v>
      </c>
      <c r="C35" s="673"/>
      <c r="D35" s="674"/>
      <c r="E35" s="664" t="str">
        <f>IF(OR(K8="[Select Device]", K7="[Select Configuration]"), " ", VLOOKUP(K8, Devices[], COLUMN(Devices[Gain Drift Typ]), 0))</f>
        <v xml:space="preserve"> </v>
      </c>
      <c r="F35" s="665"/>
      <c r="G35" s="664" t="str">
        <f>IF(OR(K8="[Select Device]", K7="[Select Configuration]"), " ", VLOOKUP(K8, Devices[], COLUMN(Devices[Gain Drift Max]), 0))</f>
        <v xml:space="preserve"> </v>
      </c>
      <c r="H35" s="665"/>
      <c r="I35" s="656" t="str">
        <f>IF(OR(K8="[Select Device]", K7="[Select Configuration]"), " ", Temp_Range*E35*10^-6*K32*1000)</f>
        <v xml:space="preserve"> </v>
      </c>
      <c r="J35" s="657"/>
      <c r="K35" s="628" t="str">
        <f>IF(OR(K8="[Select Device]", K7="[Select Configuration]"), " ", Temp_Range*G35*10^-6*K32*1000)</f>
        <v xml:space="preserve"> </v>
      </c>
      <c r="L35" s="636"/>
      <c r="N35" s="642" t="str">
        <f>"Worst-Case Drift from " &amp; K15 &amp; "°C to " &amp; K16 &amp; "°C"</f>
        <v>Worst-Case Drift from -40°C to 125°C</v>
      </c>
      <c r="O35" s="642"/>
      <c r="P35" s="642"/>
      <c r="Q35" s="642"/>
      <c r="R35" s="642"/>
      <c r="S35" s="642"/>
      <c r="AF35" s="27" t="s">
        <v>292</v>
      </c>
      <c r="AG35" s="28">
        <f>AG36*(1-E66/100)</f>
        <v>1998000</v>
      </c>
      <c r="AI35" s="75" t="s">
        <v>123</v>
      </c>
      <c r="AJ35" s="40">
        <f>$AJ$34+$AJ$20</f>
        <v>3.9999390173231788</v>
      </c>
      <c r="AP35" s="66">
        <v>19.100000000000001</v>
      </c>
      <c r="AQ35" s="18">
        <f>Table3[[#This Row],[R]]*10</f>
        <v>191</v>
      </c>
      <c r="AR35" s="19">
        <f>Table3[[#This Row],[R2]]*10</f>
        <v>1910</v>
      </c>
      <c r="AS35" s="19">
        <f>Table3[[#This Row],[R3]]*10</f>
        <v>19100</v>
      </c>
      <c r="AT35" s="19">
        <f>Table3[[#This Row],[R4]]*10</f>
        <v>191000</v>
      </c>
      <c r="AU35" s="20">
        <f>Table3[[#This Row],[R]]/10</f>
        <v>1.9100000000000001</v>
      </c>
      <c r="AV35" s="20">
        <f>Table3[[#This Row],[R6]]/10</f>
        <v>0.191</v>
      </c>
      <c r="AW35" s="20">
        <f>Table3[[#This Row],[R7]]/10</f>
        <v>1.9099999999999999E-2</v>
      </c>
      <c r="AX35" s="20">
        <f>Table3[[#This Row],[R8]]/10</f>
        <v>1.9099999999999998E-3</v>
      </c>
      <c r="AY35" s="20">
        <f>Table3[[#This Row],[R9]]/10</f>
        <v>1.9099999999999998E-4</v>
      </c>
    </row>
    <row r="36" spans="2:51" ht="15" customHeight="1" thickBot="1">
      <c r="B36" s="672" t="s">
        <v>187</v>
      </c>
      <c r="C36" s="673"/>
      <c r="D36" s="674"/>
      <c r="E36" s="744" t="str">
        <f>IF(OR(K8="[Select Device]", K7="[Select Configuration]"), " ", VLOOKUP(K8, Devices[], COLUMN(Devices[Offset Error Typ]), 0))</f>
        <v xml:space="preserve"> </v>
      </c>
      <c r="F36" s="745"/>
      <c r="G36" s="744" t="str">
        <f>IF(OR(K8="[Select Device]", K7="[Select Configuration]"), " ", VLOOKUP(K8, Devices[], COLUMN(Devices[Offset Error Max]), 0))</f>
        <v xml:space="preserve"> </v>
      </c>
      <c r="H36" s="745"/>
      <c r="I36" s="656" t="str">
        <f>IF(OR(K8="[Select Device]", K7="[Select Configuration]"), " ", E36*VLOOKUP(K8,Devices[],COLUMN(Devices[Gain]),0))</f>
        <v xml:space="preserve"> </v>
      </c>
      <c r="J36" s="657"/>
      <c r="K36" s="628" t="str">
        <f>IF(OR(K8="[Select Device]", K7="[Select Configuration]"), " ", G36*VLOOKUP(K8,Devices[],COLUMN(Devices[Gain]),0))</f>
        <v xml:space="preserve"> </v>
      </c>
      <c r="L36" s="636"/>
      <c r="M36" s="87"/>
      <c r="N36" s="642"/>
      <c r="O36" s="642"/>
      <c r="P36" s="642"/>
      <c r="Q36" s="642"/>
      <c r="R36" s="642"/>
      <c r="S36" s="642"/>
      <c r="AF36" s="88" t="s">
        <v>293</v>
      </c>
      <c r="AG36" s="89">
        <f>IF(P34="[Select Configuration]"," ",IF(P35="[Select Device]","e in the User Inputs.  ",K10+K11))</f>
        <v>2000000</v>
      </c>
      <c r="AI36" s="624" t="s">
        <v>144</v>
      </c>
      <c r="AJ36" s="625"/>
      <c r="AP36" s="66">
        <v>19.600000000000001</v>
      </c>
      <c r="AQ36" s="18">
        <f>Table3[[#This Row],[R]]*10</f>
        <v>196</v>
      </c>
      <c r="AR36" s="19">
        <f>Table3[[#This Row],[R2]]*10</f>
        <v>1960</v>
      </c>
      <c r="AS36" s="19">
        <f>Table3[[#This Row],[R3]]*10</f>
        <v>19600</v>
      </c>
      <c r="AT36" s="19">
        <f>Table3[[#This Row],[R4]]*10</f>
        <v>196000</v>
      </c>
      <c r="AU36" s="20">
        <f>Table3[[#This Row],[R]]/10</f>
        <v>1.9600000000000002</v>
      </c>
      <c r="AV36" s="20">
        <f>Table3[[#This Row],[R6]]/10</f>
        <v>0.19600000000000001</v>
      </c>
      <c r="AW36" s="20">
        <f>Table3[[#This Row],[R7]]/10</f>
        <v>1.9599999999999999E-2</v>
      </c>
      <c r="AX36" s="20">
        <f>Table3[[#This Row],[R8]]/10</f>
        <v>1.9599999999999999E-3</v>
      </c>
      <c r="AY36" s="20">
        <f>Table3[[#This Row],[R9]]/10</f>
        <v>1.9599999999999999E-4</v>
      </c>
    </row>
    <row r="37" spans="2:51" ht="15" customHeight="1" thickBot="1">
      <c r="B37" s="672" t="s">
        <v>188</v>
      </c>
      <c r="C37" s="673"/>
      <c r="D37" s="674"/>
      <c r="E37" s="757" t="str">
        <f>IF(OR(K8="[Select Device]", K7="[Select Configuration]"), " ", VLOOKUP(K8, Devices[], COLUMN(Devices[Offset Drift Typ]), 0))</f>
        <v xml:space="preserve"> </v>
      </c>
      <c r="F37" s="758"/>
      <c r="G37" s="757" t="str">
        <f>IF(OR(K8="[Select Device]", K7="[Select Configuration]"), " ", VLOOKUP(K8, Devices[], COLUMN(Devices[Offset Drift Max]), 0))</f>
        <v xml:space="preserve"> </v>
      </c>
      <c r="H37" s="758"/>
      <c r="I37" s="656" t="str">
        <f>IF(OR(K8="[Select Device]", K7="[Select Configuration]"), " ", Temp_Range*E37*10^-3*VLOOKUP(K8,Devices[],COLUMN(Devices[Gain]),0))</f>
        <v xml:space="preserve"> </v>
      </c>
      <c r="J37" s="657"/>
      <c r="K37" s="628" t="str">
        <f>IF(OR(K8="[Select Device]", K7="[Select Configuration]"), " ", Temp_Range*G37*10^-3*VLOOKUP(K8,Devices[],COLUMN(Devices[Gain]),0))</f>
        <v xml:space="preserve"> </v>
      </c>
      <c r="L37" s="636"/>
      <c r="N37" s="642" t="str">
        <f>"Worst-Case Drift from " &amp; K15 &amp; "°C to " &amp; K16 &amp; "°C"</f>
        <v>Worst-Case Drift from -40°C to 125°C</v>
      </c>
      <c r="O37" s="642"/>
      <c r="P37" s="642"/>
      <c r="Q37" s="642"/>
      <c r="R37" s="642"/>
      <c r="S37" s="642"/>
      <c r="AF37" s="38" t="s">
        <v>294</v>
      </c>
      <c r="AG37" s="39">
        <f>AG36*(1+E66/100)</f>
        <v>2001999.9999999998</v>
      </c>
      <c r="AI37" s="34" t="s">
        <v>120</v>
      </c>
      <c r="AJ37" s="35" t="e">
        <f>1/((1/$AJ$19)+(1/($K$13+AG32)))</f>
        <v>#VALUE!</v>
      </c>
      <c r="AP37" s="66">
        <v>20</v>
      </c>
      <c r="AQ37" s="18">
        <f>Table3[[#This Row],[R]]*10</f>
        <v>200</v>
      </c>
      <c r="AR37" s="19">
        <f>Table3[[#This Row],[R2]]*10</f>
        <v>2000</v>
      </c>
      <c r="AS37" s="19">
        <f>Table3[[#This Row],[R3]]*10</f>
        <v>20000</v>
      </c>
      <c r="AT37" s="19">
        <f>Table3[[#This Row],[R4]]*10</f>
        <v>200000</v>
      </c>
      <c r="AU37" s="20">
        <f>Table3[[#This Row],[R]]/10</f>
        <v>2</v>
      </c>
      <c r="AV37" s="20">
        <f>Table3[[#This Row],[R6]]/10</f>
        <v>0.2</v>
      </c>
      <c r="AW37" s="20">
        <f>Table3[[#This Row],[R7]]/10</f>
        <v>0.02</v>
      </c>
      <c r="AX37" s="20">
        <f>Table3[[#This Row],[R8]]/10</f>
        <v>2E-3</v>
      </c>
      <c r="AY37" s="20">
        <f>Table3[[#This Row],[R9]]/10</f>
        <v>2.0000000000000001E-4</v>
      </c>
    </row>
    <row r="38" spans="2:51" ht="15" customHeight="1" thickBot="1">
      <c r="B38" s="672" t="s">
        <v>1</v>
      </c>
      <c r="C38" s="673"/>
      <c r="D38" s="674"/>
      <c r="E38" s="742" t="str">
        <f>IF(OR(K8="[Select Device]", K7="[Select Configuration]"), " ", VLOOKUP(K8, Devices[], COLUMN(Devices[INL Typ]), 0))</f>
        <v xml:space="preserve"> </v>
      </c>
      <c r="F38" s="743"/>
      <c r="G38" s="742" t="str">
        <f>IF(OR(K8="[Select Device]", K7="[Select Configuration]"), " ", VLOOKUP(K8, Devices[], COLUMN(Devices[INL Max]), 0))</f>
        <v xml:space="preserve"> </v>
      </c>
      <c r="H38" s="743"/>
      <c r="I38" s="656" t="str">
        <f>IF(OR(K8="[Select Device]", K7="[Select Configuration]")," ", (E38*K32)*1000)</f>
        <v xml:space="preserve"> </v>
      </c>
      <c r="J38" s="657"/>
      <c r="K38" s="628" t="str">
        <f>IF(OR(K8="[Select Device]", K7="[Select Configuration]")," ",(G38*K32)*1000)</f>
        <v xml:space="preserve"> </v>
      </c>
      <c r="L38" s="636"/>
      <c r="N38" s="642"/>
      <c r="O38" s="642"/>
      <c r="P38" s="642"/>
      <c r="Q38" s="642"/>
      <c r="R38" s="642"/>
      <c r="S38" s="642"/>
      <c r="AF38" s="626" t="s">
        <v>301</v>
      </c>
      <c r="AG38" s="627"/>
      <c r="AI38" s="25" t="s">
        <v>122</v>
      </c>
      <c r="AJ38" s="44" t="e">
        <f>$K$9/($K$10+$K$11+$AJ$37)</f>
        <v>#VALUE!</v>
      </c>
      <c r="AP38" s="66">
        <v>20.5</v>
      </c>
      <c r="AQ38" s="18">
        <f>Table3[[#This Row],[R]]*10</f>
        <v>205</v>
      </c>
      <c r="AR38" s="19">
        <f>Table3[[#This Row],[R2]]*10</f>
        <v>2050</v>
      </c>
      <c r="AS38" s="19">
        <f>Table3[[#This Row],[R3]]*10</f>
        <v>20500</v>
      </c>
      <c r="AT38" s="19">
        <f>Table3[[#This Row],[R4]]*10</f>
        <v>205000</v>
      </c>
      <c r="AU38" s="20">
        <f>Table3[[#This Row],[R]]/10</f>
        <v>2.0499999999999998</v>
      </c>
      <c r="AV38" s="20">
        <f>Table3[[#This Row],[R6]]/10</f>
        <v>0.20499999999999999</v>
      </c>
      <c r="AW38" s="20">
        <f>Table3[[#This Row],[R7]]/10</f>
        <v>2.0499999999999997E-2</v>
      </c>
      <c r="AX38" s="20">
        <f>Table3[[#This Row],[R8]]/10</f>
        <v>2.0499999999999997E-3</v>
      </c>
      <c r="AY38" s="20">
        <f>Table3[[#This Row],[R9]]/10</f>
        <v>2.0499999999999997E-4</v>
      </c>
    </row>
    <row r="39" spans="2:51" ht="15" customHeight="1" thickBot="1">
      <c r="B39" s="672" t="s">
        <v>2</v>
      </c>
      <c r="C39" s="673"/>
      <c r="D39" s="674"/>
      <c r="E39" s="664" t="str">
        <f>IF(OR(K8="[Select Device]", K7="[Select Configuration]"), " ", VLOOKUP(K8, Devices[], COLUMN(Devices[INL Drift Typ]), 0))</f>
        <v xml:space="preserve"> </v>
      </c>
      <c r="F39" s="665"/>
      <c r="G39" s="664" t="str">
        <f>IF(OR(K8="[Select Device]", K7="[Select Configuration]"), " ", VLOOKUP(K8, Devices[], COLUMN(Devices[INL Drift Max]), 0))</f>
        <v xml:space="preserve"> </v>
      </c>
      <c r="H39" s="665"/>
      <c r="I39" s="656" t="str">
        <f>IF(OR(K8="[Select Device]", K7="[Select Configuration]"), " ", Temp_Range*10^-6*K32*E39*1000)</f>
        <v xml:space="preserve"> </v>
      </c>
      <c r="J39" s="657"/>
      <c r="K39" s="628" t="str">
        <f>IF(OR(K8="[Select Device]", K7="[Select Configuration]"), " ", Temp_Range*10^-6*K32*G39*1000)</f>
        <v xml:space="preserve"> </v>
      </c>
      <c r="L39" s="636"/>
      <c r="N39" s="642" t="str">
        <f>"Worst-Case Drift from " &amp; K15 &amp; "°C to " &amp; K16 &amp; "°C, Worst Case = 3 * Typical if no max in datasheet"</f>
        <v>Worst-Case Drift from -40°C to 125°C, Worst Case = 3 * Typical if no max in datasheet</v>
      </c>
      <c r="O39" s="642"/>
      <c r="P39" s="642"/>
      <c r="Q39" s="642"/>
      <c r="R39" s="642"/>
      <c r="S39" s="642"/>
      <c r="AF39" s="27">
        <f>1-Temp_Range*10^-6*E67</f>
        <v>0.995</v>
      </c>
      <c r="AG39" s="28">
        <f>AF39*AG35*(1-C73/100)</f>
        <v>1988010</v>
      </c>
      <c r="AI39" s="25" t="s">
        <v>121</v>
      </c>
      <c r="AJ39" s="40" t="e">
        <f>$AJ$37*$AJ$38*1000</f>
        <v>#VALUE!</v>
      </c>
      <c r="AP39" s="74">
        <v>21</v>
      </c>
      <c r="AQ39" s="18">
        <f>Table3[[#This Row],[R]]*10</f>
        <v>210</v>
      </c>
      <c r="AR39" s="19">
        <f>Table3[[#This Row],[R2]]*10</f>
        <v>2100</v>
      </c>
      <c r="AS39" s="19">
        <f>Table3[[#This Row],[R3]]*10</f>
        <v>21000</v>
      </c>
      <c r="AT39" s="19">
        <f>Table3[[#This Row],[R4]]*10</f>
        <v>210000</v>
      </c>
      <c r="AU39" s="20">
        <f>Table3[[#This Row],[R]]/10</f>
        <v>2.1</v>
      </c>
      <c r="AV39" s="20">
        <f>Table3[[#This Row],[R6]]/10</f>
        <v>0.21000000000000002</v>
      </c>
      <c r="AW39" s="20">
        <f>Table3[[#This Row],[R7]]/10</f>
        <v>2.1000000000000001E-2</v>
      </c>
      <c r="AX39" s="20">
        <f>Table3[[#This Row],[R8]]/10</f>
        <v>2.1000000000000003E-3</v>
      </c>
      <c r="AY39" s="20">
        <f>Table3[[#This Row],[R9]]/10</f>
        <v>2.1000000000000004E-4</v>
      </c>
    </row>
    <row r="40" spans="2:51" ht="15" customHeight="1" thickBot="1">
      <c r="B40" s="672" t="s">
        <v>189</v>
      </c>
      <c r="C40" s="673"/>
      <c r="D40" s="674"/>
      <c r="E40" s="664" t="s">
        <v>116</v>
      </c>
      <c r="F40" s="665"/>
      <c r="G40" s="664" t="s">
        <v>116</v>
      </c>
      <c r="H40" s="665"/>
      <c r="I40" s="654" t="str">
        <f>IF(OR(K8="[Select Device]",K7="[Select Configuration]")," ",I36*E34*VLOOKUP(K8,Devices[],COLUMN(Devices[Gain]),0)+I37*E34*VLOOKUP(K8,Devices[],COLUMN(Devices[Gain]),0))</f>
        <v xml:space="preserve"> </v>
      </c>
      <c r="J40" s="655"/>
      <c r="K40" s="654" t="str">
        <f>IF(OR(K8="[Select Device]", K7="[Select Configuration]"), " ", K36*G34*VLOOKUP(K8,Devices[],COLUMN(Devices[Gain]),0)+K37*G34*VLOOKUP(K8,Devices[],COLUMN(Devices[Gain]),0))</f>
        <v xml:space="preserve"> </v>
      </c>
      <c r="L40" s="686"/>
      <c r="N40" s="643" t="s">
        <v>117</v>
      </c>
      <c r="O40" s="643"/>
      <c r="P40" s="643"/>
      <c r="Q40" s="643"/>
      <c r="R40" s="643"/>
      <c r="S40" s="643"/>
      <c r="AF40" s="88">
        <f>1+Temp_Range*10^-6*E67</f>
        <v>1.0049999999999999</v>
      </c>
      <c r="AG40" s="39">
        <f>AF40*AG37*(1+C73/100)</f>
        <v>2012009.9999999995</v>
      </c>
      <c r="AI40" s="75" t="s">
        <v>123</v>
      </c>
      <c r="AJ40" s="40" t="e">
        <f>$AJ$39+$AJ$20</f>
        <v>#VALUE!</v>
      </c>
      <c r="AP40" s="58">
        <v>21.5</v>
      </c>
      <c r="AQ40" s="18">
        <f>Table3[[#This Row],[R]]*10</f>
        <v>215</v>
      </c>
      <c r="AR40" s="19">
        <f>Table3[[#This Row],[R2]]*10</f>
        <v>2150</v>
      </c>
      <c r="AS40" s="19">
        <f>Table3[[#This Row],[R3]]*10</f>
        <v>21500</v>
      </c>
      <c r="AT40" s="19">
        <f>Table3[[#This Row],[R4]]*10</f>
        <v>215000</v>
      </c>
      <c r="AU40" s="20">
        <f>Table3[[#This Row],[R]]/10</f>
        <v>2.15</v>
      </c>
      <c r="AV40" s="20">
        <f>Table3[[#This Row],[R6]]/10</f>
        <v>0.215</v>
      </c>
      <c r="AW40" s="20">
        <f>Table3[[#This Row],[R7]]/10</f>
        <v>2.1499999999999998E-2</v>
      </c>
      <c r="AX40" s="20">
        <f>Table3[[#This Row],[R8]]/10</f>
        <v>2.15E-3</v>
      </c>
      <c r="AY40" s="20">
        <f>Table3[[#This Row],[R9]]/10</f>
        <v>2.1499999999999999E-4</v>
      </c>
    </row>
    <row r="41" spans="2:51" ht="15" customHeight="1" thickBot="1">
      <c r="B41" s="672" t="s">
        <v>100</v>
      </c>
      <c r="C41" s="673"/>
      <c r="D41" s="674"/>
      <c r="E41" s="683" t="str">
        <f>IF(OR(K8="[Select Device]", K7="[Select Configuration]"), " ", G41/4)</f>
        <v xml:space="preserve"> </v>
      </c>
      <c r="F41" s="684"/>
      <c r="G41" s="683" t="str">
        <f>IF(OR(K8="[Select Device]", K7="[Select Configuration]"), " ", ABS(AG19))</f>
        <v xml:space="preserve"> </v>
      </c>
      <c r="H41" s="684"/>
      <c r="I41" s="656" t="str">
        <f>IF(OR(K8="[Select Device]", K7="[Select Configuration]"), " ", E41*K32*1000)</f>
        <v xml:space="preserve"> </v>
      </c>
      <c r="J41" s="657"/>
      <c r="K41" s="628" t="str">
        <f>IF(OR(K8="[Select Device]", K7="[Select Configuration]"), " ", G41*K32*1000)</f>
        <v xml:space="preserve"> </v>
      </c>
      <c r="L41" s="636"/>
      <c r="N41" s="643" t="s">
        <v>358</v>
      </c>
      <c r="O41" s="643"/>
      <c r="P41" s="643"/>
      <c r="Q41" s="643"/>
      <c r="R41" s="643"/>
      <c r="S41" s="643"/>
      <c r="AF41" s="624" t="s">
        <v>295</v>
      </c>
      <c r="AG41" s="625"/>
      <c r="AI41" s="624" t="s">
        <v>145</v>
      </c>
      <c r="AJ41" s="625"/>
      <c r="AP41" s="66">
        <v>22.1</v>
      </c>
      <c r="AQ41" s="18">
        <f>Table3[[#This Row],[R]]*10</f>
        <v>221</v>
      </c>
      <c r="AR41" s="19">
        <f>Table3[[#This Row],[R2]]*10</f>
        <v>2210</v>
      </c>
      <c r="AS41" s="19">
        <f>Table3[[#This Row],[R3]]*10</f>
        <v>22100</v>
      </c>
      <c r="AT41" s="19">
        <f>Table3[[#This Row],[R4]]*10</f>
        <v>221000</v>
      </c>
      <c r="AU41" s="20">
        <f>Table3[[#This Row],[R]]/10</f>
        <v>2.21</v>
      </c>
      <c r="AV41" s="20">
        <f>Table3[[#This Row],[R6]]/10</f>
        <v>0.221</v>
      </c>
      <c r="AW41" s="20">
        <f>Table3[[#This Row],[R7]]/10</f>
        <v>2.2100000000000002E-2</v>
      </c>
      <c r="AX41" s="20">
        <f>Table3[[#This Row],[R8]]/10</f>
        <v>2.2100000000000002E-3</v>
      </c>
      <c r="AY41" s="20">
        <f>Table3[[#This Row],[R9]]/10</f>
        <v>2.2100000000000001E-4</v>
      </c>
    </row>
    <row r="42" spans="2:51" ht="15" customHeight="1" thickBot="1">
      <c r="B42" s="672" t="s">
        <v>101</v>
      </c>
      <c r="C42" s="673"/>
      <c r="D42" s="674"/>
      <c r="E42" s="664" t="str">
        <f>IF(OR(K8="[Select Device]", K7="[Select Configuration]"), " ", 3)</f>
        <v xml:space="preserve"> </v>
      </c>
      <c r="F42" s="665"/>
      <c r="G42" s="664" t="str">
        <f>IF(OR(K8="[Select Device]", K7="[Select Configuration]"), " ", 10)</f>
        <v xml:space="preserve"> </v>
      </c>
      <c r="H42" s="665"/>
      <c r="I42" s="628" t="str">
        <f>IF(OR(K8="[Select Device]", K7="[Select Configuration]"), " ", K42/3)</f>
        <v xml:space="preserve"> </v>
      </c>
      <c r="J42" s="629"/>
      <c r="K42" s="628" t="str">
        <f>IF(OR(K8="[Select Device]", K7="[Select Configuration]"), " ", (K24-K26)*VLOOKUP(K8,Devices[],COLUMN(Devices[Gain]),0))</f>
        <v xml:space="preserve"> </v>
      </c>
      <c r="L42" s="636"/>
      <c r="N42" s="643" t="s">
        <v>357</v>
      </c>
      <c r="O42" s="643"/>
      <c r="P42" s="643"/>
      <c r="Q42" s="643"/>
      <c r="R42" s="643"/>
      <c r="S42" s="643"/>
      <c r="AF42" s="27" t="s">
        <v>297</v>
      </c>
      <c r="AG42" s="28" t="e">
        <f>AG43*(1-E68/100)</f>
        <v>#VALUE!</v>
      </c>
      <c r="AI42" s="34" t="s">
        <v>120</v>
      </c>
      <c r="AJ42" s="35" t="e">
        <f>1/((1/$AJ$19)+(1/($K$13+AG30)))</f>
        <v>#VALUE!</v>
      </c>
      <c r="AP42" s="66">
        <v>22.6</v>
      </c>
      <c r="AQ42" s="18">
        <f>Table3[[#This Row],[R]]*10</f>
        <v>226</v>
      </c>
      <c r="AR42" s="19">
        <f>Table3[[#This Row],[R2]]*10</f>
        <v>2260</v>
      </c>
      <c r="AS42" s="19">
        <f>Table3[[#This Row],[R3]]*10</f>
        <v>22600</v>
      </c>
      <c r="AT42" s="19">
        <f>Table3[[#This Row],[R4]]*10</f>
        <v>226000</v>
      </c>
      <c r="AU42" s="20">
        <f>Table3[[#This Row],[R]]/10</f>
        <v>2.2600000000000002</v>
      </c>
      <c r="AV42" s="20">
        <f>Table3[[#This Row],[R6]]/10</f>
        <v>0.22600000000000003</v>
      </c>
      <c r="AW42" s="20">
        <f>Table3[[#This Row],[R7]]/10</f>
        <v>2.2600000000000002E-2</v>
      </c>
      <c r="AX42" s="20">
        <f>Table3[[#This Row],[R8]]/10</f>
        <v>2.2600000000000003E-3</v>
      </c>
      <c r="AY42" s="20">
        <f>Table3[[#This Row],[R9]]/10</f>
        <v>2.2600000000000002E-4</v>
      </c>
    </row>
    <row r="43" spans="2:51" ht="15" customHeight="1" thickBot="1">
      <c r="B43" s="675" t="s">
        <v>190</v>
      </c>
      <c r="C43" s="676"/>
      <c r="D43" s="677"/>
      <c r="E43" s="664" t="s">
        <v>116</v>
      </c>
      <c r="F43" s="665"/>
      <c r="G43" s="664" t="s">
        <v>116</v>
      </c>
      <c r="H43" s="665"/>
      <c r="I43" s="628" t="str">
        <f>IF(OR(K8="[Select Device]", K7="[Select Configuration]"), " ", IF(OR(K7="Differential without R3'",K7="Single-Ended"),AJ20*VLOOKUP(K8,Devices[],COLUMN(Devices[Gain]),0),0))</f>
        <v xml:space="preserve"> </v>
      </c>
      <c r="J43" s="629"/>
      <c r="K43" s="628" t="str">
        <f>IF(OR(K8="[Select Device]", K7="[Select Configuration]"), " ", IF(OR(K7="Differential without R3'",K7="Single-Ended"),AJ20*VLOOKUP(K8,Devices[],COLUMN(Devices[Gain]),0),0))</f>
        <v xml:space="preserve"> </v>
      </c>
      <c r="L43" s="636"/>
      <c r="N43" s="643" t="s">
        <v>141</v>
      </c>
      <c r="O43" s="643"/>
      <c r="P43" s="643"/>
      <c r="Q43" s="643"/>
      <c r="R43" s="643"/>
      <c r="S43" s="643"/>
      <c r="AF43" s="88" t="s">
        <v>298</v>
      </c>
      <c r="AG43" s="89" t="str">
        <f>IF(P37="[Select Configuration]"," ",IF(P38="[Select Device]","e in the User Inputs.  ",K19))</f>
        <v xml:space="preserve"> </v>
      </c>
      <c r="AI43" s="25" t="s">
        <v>122</v>
      </c>
      <c r="AJ43" s="44" t="e">
        <f>$K$9/($K$10+$K$11+$AJ$42)</f>
        <v>#VALUE!</v>
      </c>
      <c r="AP43" s="66">
        <v>23.2</v>
      </c>
      <c r="AQ43" s="18">
        <f>Table3[[#This Row],[R]]*10</f>
        <v>232</v>
      </c>
      <c r="AR43" s="19">
        <f>Table3[[#This Row],[R2]]*10</f>
        <v>2320</v>
      </c>
      <c r="AS43" s="19">
        <f>Table3[[#This Row],[R3]]*10</f>
        <v>23200</v>
      </c>
      <c r="AT43" s="19">
        <f>Table3[[#This Row],[R4]]*10</f>
        <v>232000</v>
      </c>
      <c r="AU43" s="20">
        <f>Table3[[#This Row],[R]]/10</f>
        <v>2.3199999999999998</v>
      </c>
      <c r="AV43" s="20">
        <f>Table3[[#This Row],[R6]]/10</f>
        <v>0.23199999999999998</v>
      </c>
      <c r="AW43" s="20">
        <f>Table3[[#This Row],[R7]]/10</f>
        <v>2.3199999999999998E-2</v>
      </c>
      <c r="AX43" s="20">
        <f>Table3[[#This Row],[R8]]/10</f>
        <v>2.32E-3</v>
      </c>
      <c r="AY43" s="20">
        <f>Table3[[#This Row],[R9]]/10</f>
        <v>2.32E-4</v>
      </c>
    </row>
    <row r="44" spans="2:51" ht="15.75" hidden="1" customHeight="1" thickBot="1">
      <c r="B44" s="90" t="s">
        <v>363</v>
      </c>
      <c r="C44" s="91">
        <v>1E-3</v>
      </c>
      <c r="D44" s="91">
        <v>0.03</v>
      </c>
      <c r="E44" s="92">
        <f>0*(C44/1000*(300000-300000*-1.002))*VLOOKUP(K8,Devices[],COLUMN(Devices[Gain]),0)</f>
        <v>0</v>
      </c>
      <c r="F44" s="93">
        <f>0*(D44/1000*(300000-300000*-1.002))*VLOOKUP(K8,Devices[],COLUMN(Devices[Gain]),0)</f>
        <v>0</v>
      </c>
      <c r="G44" s="94" t="s">
        <v>364</v>
      </c>
      <c r="H44" s="95"/>
      <c r="I44" s="95"/>
      <c r="J44" s="95"/>
      <c r="K44" s="95"/>
      <c r="L44" s="96"/>
      <c r="AF44" s="88"/>
      <c r="AG44" s="89"/>
      <c r="AI44" s="25"/>
      <c r="AJ44" s="44"/>
      <c r="AP44" s="97"/>
      <c r="AQ44" s="98">
        <f>Table3[[#This Row],[R]]*10</f>
        <v>0</v>
      </c>
      <c r="AR44" s="99">
        <f>Table3[[#This Row],[R2]]*10</f>
        <v>0</v>
      </c>
      <c r="AS44" s="99">
        <f>Table3[[#This Row],[R3]]*10</f>
        <v>0</v>
      </c>
      <c r="AT44" s="99">
        <f>Table3[[#This Row],[R]]/10</f>
        <v>0</v>
      </c>
      <c r="AU44" s="99">
        <f>Table3[[#This Row],[R5]]/10</f>
        <v>0</v>
      </c>
      <c r="AV44" s="99">
        <f>Table3[[#This Row],[R6]]/10</f>
        <v>0</v>
      </c>
      <c r="AW44" s="99">
        <f>Table3[[#This Row],[R7]]/10</f>
        <v>0</v>
      </c>
      <c r="AX44" s="99">
        <f>Table3[[#This Row],[R8]]/10</f>
        <v>0</v>
      </c>
      <c r="AY44" s="99">
        <f>Table3[[#This Row],[R9]]/10</f>
        <v>0</v>
      </c>
    </row>
    <row r="45" spans="2:51" ht="20.100000000000001" customHeight="1" thickBot="1">
      <c r="B45" s="100" t="s">
        <v>20</v>
      </c>
      <c r="C45" s="101"/>
      <c r="D45" s="101"/>
      <c r="E45" s="678" t="s">
        <v>372</v>
      </c>
      <c r="F45" s="679"/>
      <c r="G45" s="678" t="s">
        <v>373</v>
      </c>
      <c r="H45" s="679"/>
      <c r="I45" s="678" t="s">
        <v>367</v>
      </c>
      <c r="J45" s="679"/>
      <c r="K45" s="678" t="s">
        <v>374</v>
      </c>
      <c r="L45" s="679"/>
      <c r="AF45" s="38" t="s">
        <v>299</v>
      </c>
      <c r="AG45" s="39" t="e">
        <f>AG43*(1+E68/100)</f>
        <v>#VALUE!</v>
      </c>
      <c r="AI45" s="25" t="s">
        <v>121</v>
      </c>
      <c r="AJ45" s="40" t="e">
        <f>$AJ$42*$AJ$43*1000</f>
        <v>#VALUE!</v>
      </c>
      <c r="AP45" s="66">
        <v>23.7</v>
      </c>
      <c r="AQ45" s="18">
        <f>Table3[[#This Row],[R]]*10</f>
        <v>237</v>
      </c>
      <c r="AR45" s="19">
        <f>Table3[[#This Row],[R2]]*10</f>
        <v>2370</v>
      </c>
      <c r="AS45" s="19">
        <f>Table3[[#This Row],[R3]]*10</f>
        <v>23700</v>
      </c>
      <c r="AT45" s="19">
        <f>Table3[[#This Row],[R4]]*10</f>
        <v>237000</v>
      </c>
      <c r="AU45" s="20">
        <f>Table3[[#This Row],[R]]/10</f>
        <v>2.37</v>
      </c>
      <c r="AV45" s="20">
        <f>Table3[[#This Row],[R6]]/10</f>
        <v>0.23700000000000002</v>
      </c>
      <c r="AW45" s="20">
        <f>Table3[[#This Row],[R7]]/10</f>
        <v>2.3700000000000002E-2</v>
      </c>
      <c r="AX45" s="20">
        <f>Table3[[#This Row],[R8]]/10</f>
        <v>2.3700000000000001E-3</v>
      </c>
      <c r="AY45" s="20">
        <f>Table3[[#This Row],[R9]]/10</f>
        <v>2.3700000000000001E-4</v>
      </c>
    </row>
    <row r="46" spans="2:51" ht="15" customHeight="1" thickBot="1">
      <c r="B46" s="102" t="s">
        <v>368</v>
      </c>
      <c r="C46" s="103"/>
      <c r="D46" s="104"/>
      <c r="E46" s="660" t="str">
        <f>IF(OR(K7="[Select Configuration]", $K$8="[Select Device]", K8=" "), " ", I46/1000/($K$32-$I$43/1000))</f>
        <v xml:space="preserve"> </v>
      </c>
      <c r="F46" s="682"/>
      <c r="G46" s="660" t="str">
        <f>IF(OR($K$7="[Select Configuration]", $K$8="[Select Device]", $K$8=" "), " ",K46/1000/($K$32-$K$43/1000))</f>
        <v xml:space="preserve"> </v>
      </c>
      <c r="H46" s="661"/>
      <c r="I46" s="680" t="str">
        <f>IF(OR(K7="[Select Configuration]", K8="[Select Device]", K8=" "), " ",(SQRT(SUMSQ(I34:I42,E44)))+I43)</f>
        <v xml:space="preserve"> </v>
      </c>
      <c r="J46" s="685"/>
      <c r="K46" s="680" t="str">
        <f>IF(OR(K7="[Select Configuration]", K8="[Select Device]", K8=" "), " ",(SQRT(SUMSQ(K34:K42,F44)))+K43)</f>
        <v xml:space="preserve"> </v>
      </c>
      <c r="L46" s="681"/>
      <c r="N46" s="642" t="s">
        <v>111</v>
      </c>
      <c r="O46" s="642"/>
      <c r="P46" s="642"/>
      <c r="Q46" s="642"/>
      <c r="R46" s="642"/>
      <c r="S46" s="642"/>
      <c r="AF46" s="626" t="s">
        <v>302</v>
      </c>
      <c r="AG46" s="627"/>
      <c r="AI46" s="75" t="s">
        <v>123</v>
      </c>
      <c r="AJ46" s="53" t="e">
        <f>$AJ$45+$AJ$20</f>
        <v>#VALUE!</v>
      </c>
      <c r="AP46" s="66">
        <v>24.3</v>
      </c>
      <c r="AQ46" s="18">
        <f>Table3[[#This Row],[R]]*10</f>
        <v>243</v>
      </c>
      <c r="AR46" s="19">
        <f>Table3[[#This Row],[R2]]*10</f>
        <v>2430</v>
      </c>
      <c r="AS46" s="19">
        <f>Table3[[#This Row],[R3]]*10</f>
        <v>24300</v>
      </c>
      <c r="AT46" s="19">
        <f>Table3[[#This Row],[R4]]*10</f>
        <v>243000</v>
      </c>
      <c r="AU46" s="20">
        <f>Table3[[#This Row],[R]]/10</f>
        <v>2.4300000000000002</v>
      </c>
      <c r="AV46" s="20">
        <f>Table3[[#This Row],[R6]]/10</f>
        <v>0.24300000000000002</v>
      </c>
      <c r="AW46" s="20">
        <f>Table3[[#This Row],[R7]]/10</f>
        <v>2.4300000000000002E-2</v>
      </c>
      <c r="AX46" s="20">
        <f>Table3[[#This Row],[R8]]/10</f>
        <v>2.4300000000000003E-3</v>
      </c>
      <c r="AY46" s="20">
        <f>Table3[[#This Row],[R9]]/10</f>
        <v>2.4300000000000002E-4</v>
      </c>
    </row>
    <row r="47" spans="2:51" ht="15" customHeight="1" thickBot="1">
      <c r="B47" s="105" t="s">
        <v>369</v>
      </c>
      <c r="C47" s="106"/>
      <c r="D47" s="107"/>
      <c r="E47" s="803" t="str">
        <f>IF(OR(K8="[Select Configuration]", $K$8="[Select Device]", K9=" "), " ", I47/1000/($K$32-$I$43/1000))</f>
        <v xml:space="preserve"> </v>
      </c>
      <c r="F47" s="810"/>
      <c r="G47" s="803" t="str">
        <f>IF(OR($K$7="[Select Configuration]", $K$8="[Select Device]", $K$8=" "), " ",K47/1000/($K$32-$K$43/1000))</f>
        <v xml:space="preserve"> </v>
      </c>
      <c r="H47" s="804"/>
      <c r="I47" s="666" t="str">
        <f>IF(OR(K7="[Select Configuration]", K8="[Select Device]", K8=" "), " ",SQRT(SUMSQ(I34,I35,I37,I38,I39,I41,I42)))</f>
        <v xml:space="preserve"> </v>
      </c>
      <c r="J47" s="667"/>
      <c r="K47" s="666" t="str">
        <f>IF(OR(K7="[Select Configuration]",K8="[Select Device]",K8=" ")," ",SQRT(SUMSQ(K34,K35,K37,K38,K39,K41,K42)))</f>
        <v xml:space="preserve"> </v>
      </c>
      <c r="L47" s="814"/>
      <c r="N47" s="643" t="s">
        <v>199</v>
      </c>
      <c r="O47" s="643"/>
      <c r="P47" s="643"/>
      <c r="Q47" s="643"/>
      <c r="R47" s="643"/>
      <c r="S47" s="643"/>
      <c r="AF47" s="27">
        <f>1-Temp_Range*10^-6*E69</f>
        <v>0.995</v>
      </c>
      <c r="AG47" s="28" t="e">
        <f>AF47*AG42*(1-C76/100)</f>
        <v>#VALUE!</v>
      </c>
      <c r="AP47" s="66">
        <v>24.9</v>
      </c>
      <c r="AQ47" s="18">
        <f>Table3[[#This Row],[R]]*10</f>
        <v>249</v>
      </c>
      <c r="AR47" s="19">
        <f>Table3[[#This Row],[R2]]*10</f>
        <v>2490</v>
      </c>
      <c r="AS47" s="19">
        <f>Table3[[#This Row],[R3]]*10</f>
        <v>24900</v>
      </c>
      <c r="AT47" s="19">
        <f>Table3[[#This Row],[R4]]*10</f>
        <v>249000</v>
      </c>
      <c r="AU47" s="20">
        <f>Table3[[#This Row],[R]]/10</f>
        <v>2.4899999999999998</v>
      </c>
      <c r="AV47" s="20">
        <f>Table3[[#This Row],[R6]]/10</f>
        <v>0.24899999999999997</v>
      </c>
      <c r="AW47" s="20">
        <f>Table3[[#This Row],[R7]]/10</f>
        <v>2.4899999999999999E-2</v>
      </c>
      <c r="AX47" s="20">
        <f>Table3[[#This Row],[R8]]/10</f>
        <v>2.49E-3</v>
      </c>
      <c r="AY47" s="20">
        <f>Table3[[#This Row],[R9]]/10</f>
        <v>2.4899999999999998E-4</v>
      </c>
    </row>
    <row r="48" spans="2:51" ht="15" customHeight="1" thickBot="1">
      <c r="B48" s="105" t="s">
        <v>370</v>
      </c>
      <c r="C48" s="106"/>
      <c r="D48" s="107"/>
      <c r="E48" s="803" t="str">
        <f>IF(OR(K9="[Select Configuration]", $K$8="[Select Device]", K10=" "), " ", I48/1000/($K$32-$I$43/1000))</f>
        <v xml:space="preserve"> </v>
      </c>
      <c r="F48" s="810"/>
      <c r="G48" s="803" t="str">
        <f>IF(OR($K$7="[Select Configuration]", $K$8="[Select Device]", $K$8=" "), " ",K48/1000/($K$32-$K$43/1000))</f>
        <v xml:space="preserve"> </v>
      </c>
      <c r="H48" s="804"/>
      <c r="I48" s="666" t="str">
        <f>IF(OR(K7="[Select Configuration]", K8="[Select Device]", K8=" "), " ",SQRT(SUMSQ(I35,I37,I38,I39,I42)))</f>
        <v xml:space="preserve"> </v>
      </c>
      <c r="J48" s="667"/>
      <c r="K48" s="666" t="str">
        <f>IF(OR(K7="[Select Configuration]", K8="[Select Device]", K8=" "), " ",SQRT(SUMSQ(K35,K37,K38,K39,K42)))</f>
        <v xml:space="preserve"> </v>
      </c>
      <c r="L48" s="814"/>
      <c r="AF48" s="88">
        <f>1+Temp_Range*10^-6*E69</f>
        <v>1.0049999999999999</v>
      </c>
      <c r="AG48" s="39" t="e">
        <f>AF48*AG45*(1+C76/100)</f>
        <v>#VALUE!</v>
      </c>
      <c r="AP48" s="74">
        <v>25.5</v>
      </c>
      <c r="AQ48" s="18">
        <f>Table3[[#This Row],[R]]*10</f>
        <v>255</v>
      </c>
      <c r="AR48" s="19">
        <f>Table3[[#This Row],[R2]]*10</f>
        <v>2550</v>
      </c>
      <c r="AS48" s="19">
        <f>Table3[[#This Row],[R3]]*10</f>
        <v>25500</v>
      </c>
      <c r="AT48" s="19">
        <f>Table3[[#This Row],[R4]]*10</f>
        <v>255000</v>
      </c>
      <c r="AU48" s="20">
        <f>Table3[[#This Row],[R]]/10</f>
        <v>2.5499999999999998</v>
      </c>
      <c r="AV48" s="20">
        <f>Table3[[#This Row],[R6]]/10</f>
        <v>0.255</v>
      </c>
      <c r="AW48" s="20">
        <f>Table3[[#This Row],[R7]]/10</f>
        <v>2.5500000000000002E-2</v>
      </c>
      <c r="AX48" s="20">
        <f>Table3[[#This Row],[R8]]/10</f>
        <v>2.5500000000000002E-3</v>
      </c>
      <c r="AY48" s="20">
        <f>Table3[[#This Row],[R9]]/10</f>
        <v>2.5500000000000002E-4</v>
      </c>
    </row>
    <row r="49" spans="2:51" ht="15" customHeight="1" thickBot="1">
      <c r="B49" s="108" t="s">
        <v>371</v>
      </c>
      <c r="C49" s="109"/>
      <c r="D49" s="110"/>
      <c r="E49" s="658" t="str">
        <f>IF(OR(K10="[Select Configuration]", $K$8="[Select Device]", K11=" "), " ", I49/1000/($K$32-$I$43/1000))</f>
        <v xml:space="preserve"> </v>
      </c>
      <c r="F49" s="659"/>
      <c r="G49" s="658" t="str">
        <f>IF(OR($K$7="[Select Configuration]", $K$8="[Select Device]", $K$8=" "), " ",K49/1000/($K$32-$K$43/1000))</f>
        <v xml:space="preserve"> </v>
      </c>
      <c r="H49" s="805"/>
      <c r="I49" s="662" t="str">
        <f>IF(OR(K7="[Select Configuration]", K8="[Select Device]", K8=" "), " ",SQRT(SUMSQ(I39,I38)))</f>
        <v xml:space="preserve"> </v>
      </c>
      <c r="J49" s="668"/>
      <c r="K49" s="662" t="str">
        <f>IF(OR(K7="[Select Configuration]", K8="[Select Device]", K8=" "), " ",SQRT(SUMSQ(K39,K38)))</f>
        <v xml:space="preserve"> </v>
      </c>
      <c r="L49" s="663"/>
      <c r="AF49" s="624" t="s">
        <v>304</v>
      </c>
      <c r="AG49" s="625"/>
      <c r="AP49" s="58">
        <v>26.1</v>
      </c>
      <c r="AQ49" s="18">
        <f>Table3[[#This Row],[R]]*10</f>
        <v>261</v>
      </c>
      <c r="AR49" s="19">
        <f>Table3[[#This Row],[R2]]*10</f>
        <v>2610</v>
      </c>
      <c r="AS49" s="19">
        <f>Table3[[#This Row],[R3]]*10</f>
        <v>26100</v>
      </c>
      <c r="AT49" s="19">
        <f>Table3[[#This Row],[R4]]*10</f>
        <v>261000</v>
      </c>
      <c r="AU49" s="20">
        <f>Table3[[#This Row],[R]]/10</f>
        <v>2.6100000000000003</v>
      </c>
      <c r="AV49" s="20">
        <f>Table3[[#This Row],[R6]]/10</f>
        <v>0.26100000000000001</v>
      </c>
      <c r="AW49" s="20">
        <f>Table3[[#This Row],[R7]]/10</f>
        <v>2.6100000000000002E-2</v>
      </c>
      <c r="AX49" s="20">
        <f>Table3[[#This Row],[R8]]/10</f>
        <v>2.6100000000000003E-3</v>
      </c>
      <c r="AY49" s="20">
        <f>Table3[[#This Row],[R9]]/10</f>
        <v>2.6100000000000006E-4</v>
      </c>
    </row>
    <row r="50" spans="2:51" ht="15" customHeight="1" thickBot="1">
      <c r="B50" s="471"/>
      <c r="C50" s="471"/>
      <c r="D50" s="471"/>
      <c r="E50" s="494"/>
      <c r="F50" s="494"/>
      <c r="G50" s="494"/>
      <c r="H50" s="494"/>
      <c r="I50" s="495"/>
      <c r="J50" s="819" t="str">
        <f>IF(IF(K7="[Select Configuration]", "Differential", IF(K8="[Select Device]", "Differential", VLOOKUP(K8, Devices[], COLUMN(Devices[Output Type]), 0)))="Differential", "", "This device has single-ended or ratiometric output. Set values listed in left column.")</f>
        <v/>
      </c>
      <c r="K50" s="819"/>
      <c r="L50" s="819"/>
      <c r="M50" s="69"/>
      <c r="N50" s="69"/>
      <c r="AF50" s="489"/>
      <c r="AG50" s="490"/>
      <c r="AP50" s="491"/>
      <c r="AQ50" s="492">
        <f>Table3[[#This Row],[R]]*10</f>
        <v>0</v>
      </c>
      <c r="AR50" s="493">
        <f>Table3[[#This Row],[R2]]*10</f>
        <v>0</v>
      </c>
      <c r="AS50" s="493">
        <f>Table3[[#This Row],[R3]]*10</f>
        <v>0</v>
      </c>
      <c r="AT50" s="493">
        <f>Table3[[#This Row],[R]]/10</f>
        <v>0</v>
      </c>
      <c r="AU50" s="493">
        <f>Table3[[#This Row],[R5]]/10</f>
        <v>0</v>
      </c>
      <c r="AV50" s="493">
        <f>Table3[[#This Row],[R6]]/10</f>
        <v>0</v>
      </c>
      <c r="AW50" s="493">
        <f>Table3[[#This Row],[R7]]/10</f>
        <v>0</v>
      </c>
      <c r="AX50" s="493">
        <f>Table3[[#This Row],[R8]]/10</f>
        <v>0</v>
      </c>
      <c r="AY50" s="493">
        <f>Table3[[#This Row],[R9]]/10</f>
        <v>0</v>
      </c>
    </row>
    <row r="51" spans="2:51" ht="15" customHeight="1" thickBot="1">
      <c r="B51" s="111"/>
      <c r="C51" s="111"/>
      <c r="D51" s="111"/>
      <c r="E51" s="24"/>
      <c r="F51" s="24"/>
      <c r="G51" s="24"/>
      <c r="H51" s="112"/>
      <c r="I51" s="112"/>
      <c r="J51" s="820"/>
      <c r="K51" s="820"/>
      <c r="L51" s="820"/>
      <c r="AF51" s="45" t="s">
        <v>94</v>
      </c>
      <c r="AG51" s="48" t="e">
        <f>K9*K19/(K19+AG36)*1000</f>
        <v>#VALUE!</v>
      </c>
      <c r="AP51" s="66">
        <v>26.7</v>
      </c>
      <c r="AQ51" s="18">
        <f>Table3[[#This Row],[R]]*10</f>
        <v>267</v>
      </c>
      <c r="AR51" s="19">
        <f>Table3[[#This Row],[R2]]*10</f>
        <v>2670</v>
      </c>
      <c r="AS51" s="19">
        <f>Table3[[#This Row],[R3]]*10</f>
        <v>26700</v>
      </c>
      <c r="AT51" s="19">
        <f>Table3[[#This Row],[R4]]*10</f>
        <v>267000</v>
      </c>
      <c r="AU51" s="20">
        <f>Table3[[#This Row],[R]]/10</f>
        <v>2.67</v>
      </c>
      <c r="AV51" s="20">
        <f>Table3[[#This Row],[R6]]/10</f>
        <v>0.26700000000000002</v>
      </c>
      <c r="AW51" s="20">
        <f>Table3[[#This Row],[R7]]/10</f>
        <v>2.6700000000000002E-2</v>
      </c>
      <c r="AX51" s="20">
        <f>Table3[[#This Row],[R8]]/10</f>
        <v>2.6700000000000001E-3</v>
      </c>
      <c r="AY51" s="20">
        <f>Table3[[#This Row],[R9]]/10</f>
        <v>2.6699999999999998E-4</v>
      </c>
    </row>
    <row r="52" spans="2:51" ht="18.75" thickBot="1">
      <c r="B52" s="111"/>
      <c r="C52" s="111"/>
      <c r="D52" s="111"/>
      <c r="E52" s="24"/>
      <c r="F52" s="24"/>
      <c r="G52" s="24"/>
      <c r="H52" s="112"/>
      <c r="I52" s="112"/>
      <c r="J52" s="811" t="s">
        <v>378</v>
      </c>
      <c r="K52" s="812"/>
      <c r="L52" s="813"/>
      <c r="N52" s="622" t="s">
        <v>380</v>
      </c>
      <c r="O52" s="623"/>
      <c r="AF52" s="45"/>
      <c r="AG52" s="48"/>
      <c r="AP52" s="84"/>
      <c r="AQ52" s="85">
        <f>Table3[[#This Row],[R]]*10</f>
        <v>0</v>
      </c>
      <c r="AR52" s="20">
        <f>Table3[[#This Row],[R2]]*10</f>
        <v>0</v>
      </c>
      <c r="AS52" s="20">
        <f>Table3[[#This Row],[R3]]*10</f>
        <v>0</v>
      </c>
      <c r="AT52" s="20">
        <f>Table3[[#This Row],[R]]/10</f>
        <v>0</v>
      </c>
      <c r="AU52" s="20">
        <f>Table3[[#This Row],[R5]]/10</f>
        <v>0</v>
      </c>
      <c r="AV52" s="20">
        <f>Table3[[#This Row],[R6]]/10</f>
        <v>0</v>
      </c>
      <c r="AW52" s="20">
        <f>Table3[[#This Row],[R7]]/10</f>
        <v>0</v>
      </c>
      <c r="AX52" s="20">
        <f>Table3[[#This Row],[R8]]/10</f>
        <v>0</v>
      </c>
      <c r="AY52" s="20">
        <f>Table3[[#This Row],[R9]]/10</f>
        <v>0</v>
      </c>
    </row>
    <row r="53" spans="2:51" ht="26.1" customHeight="1" thickBot="1">
      <c r="B53" s="111"/>
      <c r="C53" s="111"/>
      <c r="D53" s="111"/>
      <c r="E53" s="24"/>
      <c r="F53" s="24"/>
      <c r="G53" s="24"/>
      <c r="H53" s="112"/>
      <c r="I53" s="112"/>
      <c r="J53" s="808" t="s">
        <v>475</v>
      </c>
      <c r="K53" s="809"/>
      <c r="L53" s="178" t="str">
        <f>IF(OR(K8="[Select Device]",K7="[Select Configuration]")," ", (L55+(ABS(2.5-(5*10*(1+(L57)/100))/(10*(1+(L57)/100)+10*(1-(L57)/100)))*1000)))</f>
        <v xml:space="preserve"> </v>
      </c>
      <c r="N53" s="113" t="s">
        <v>381</v>
      </c>
      <c r="O53" s="114" t="str">
        <f>E74</f>
        <v xml:space="preserve"> </v>
      </c>
      <c r="AF53" s="25" t="s">
        <v>305</v>
      </c>
      <c r="AG53" s="48" t="e">
        <f>K9*K19/(K19+AG35)*1000</f>
        <v>#VALUE!</v>
      </c>
      <c r="AP53" s="66">
        <v>27.4</v>
      </c>
      <c r="AQ53" s="18">
        <f>Table3[[#This Row],[R]]*10</f>
        <v>274</v>
      </c>
      <c r="AR53" s="19">
        <f>Table3[[#This Row],[R2]]*10</f>
        <v>2740</v>
      </c>
      <c r="AS53" s="19">
        <f>Table3[[#This Row],[R3]]*10</f>
        <v>27400</v>
      </c>
      <c r="AT53" s="19">
        <f>Table3[[#This Row],[R4]]*10</f>
        <v>274000</v>
      </c>
      <c r="AU53" s="20">
        <f>Table3[[#This Row],[R]]/10</f>
        <v>2.7399999999999998</v>
      </c>
      <c r="AV53" s="20">
        <f>Table3[[#This Row],[R6]]/10</f>
        <v>0.27399999999999997</v>
      </c>
      <c r="AW53" s="20">
        <f>Table3[[#This Row],[R7]]/10</f>
        <v>2.7399999999999997E-2</v>
      </c>
      <c r="AX53" s="20">
        <f>Table3[[#This Row],[R8]]/10</f>
        <v>2.7399999999999998E-3</v>
      </c>
      <c r="AY53" s="20">
        <f>Table3[[#This Row],[R9]]/10</f>
        <v>2.7399999999999999E-4</v>
      </c>
    </row>
    <row r="54" spans="2:51" ht="26.1" customHeight="1" thickBot="1">
      <c r="B54" s="111"/>
      <c r="C54" s="111"/>
      <c r="D54" s="111"/>
      <c r="E54" s="24"/>
      <c r="F54" s="24"/>
      <c r="G54" s="24"/>
      <c r="H54" s="112"/>
      <c r="I54" s="112"/>
      <c r="J54" s="815" t="s">
        <v>476</v>
      </c>
      <c r="K54" s="816"/>
      <c r="L54" s="179" t="str">
        <f>IF(OR(K8="[Select Device]", K7="[Select Configuration]"), " ", (L56*Temp_Range/1000+(ABS(2.5-(5*10*(1+(L58*Temp_Range/1000000)/100))/(10*(1+(L58*Temp_Range/1000000)/100)+10*(1-(L58*Temp_Range/1000000)/100)))*1000)))</f>
        <v xml:space="preserve"> </v>
      </c>
      <c r="N54" s="115" t="s">
        <v>386</v>
      </c>
      <c r="O54" s="60" t="str">
        <f>F74</f>
        <v xml:space="preserve"> </v>
      </c>
      <c r="AF54" s="25" t="s">
        <v>306</v>
      </c>
      <c r="AG54" s="48" t="e">
        <f>K9*K19/(K19+AG37)*1000</f>
        <v>#VALUE!</v>
      </c>
      <c r="AP54" s="66">
        <v>28</v>
      </c>
      <c r="AQ54" s="18">
        <f>Table3[[#This Row],[R]]*10</f>
        <v>280</v>
      </c>
      <c r="AR54" s="19">
        <f>Table3[[#This Row],[R2]]*10</f>
        <v>2800</v>
      </c>
      <c r="AS54" s="19">
        <f>Table3[[#This Row],[R3]]*10</f>
        <v>28000</v>
      </c>
      <c r="AT54" s="19">
        <f>Table3[[#This Row],[R4]]*10</f>
        <v>280000</v>
      </c>
      <c r="AU54" s="20">
        <f>Table3[[#This Row],[R]]/10</f>
        <v>2.8</v>
      </c>
      <c r="AV54" s="20">
        <f>Table3[[#This Row],[R6]]/10</f>
        <v>0.27999999999999997</v>
      </c>
      <c r="AW54" s="20">
        <f>Table3[[#This Row],[R7]]/10</f>
        <v>2.7999999999999997E-2</v>
      </c>
      <c r="AX54" s="20">
        <f>Table3[[#This Row],[R8]]/10</f>
        <v>2.7999999999999995E-3</v>
      </c>
      <c r="AY54" s="20">
        <f>Table3[[#This Row],[R9]]/10</f>
        <v>2.7999999999999998E-4</v>
      </c>
    </row>
    <row r="55" spans="2:51" ht="26.1" customHeight="1">
      <c r="B55" s="111"/>
      <c r="C55" s="111"/>
      <c r="D55" s="111"/>
      <c r="E55" s="24"/>
      <c r="F55" s="24"/>
      <c r="G55" s="24"/>
      <c r="H55" s="112"/>
      <c r="I55" s="112"/>
      <c r="J55" s="638" t="str">
        <f>IF(IF(K7="[Select Configuration]", "Differential", IF(K8="[Select Device]", "Differential", VLOOKUP(K8, Devices[], COLUMN(Devices[Output Type]), 0)))="Differential", "OPA Input Offset", "OPA Input Offset =  0")</f>
        <v>OPA Input Offset</v>
      </c>
      <c r="K55" s="639"/>
      <c r="L55" s="7">
        <v>0.4</v>
      </c>
      <c r="N55" s="115" t="s">
        <v>382</v>
      </c>
      <c r="O55" s="116" t="str">
        <f>H74</f>
        <v xml:space="preserve"> </v>
      </c>
      <c r="AF55" s="25"/>
      <c r="AG55" s="48"/>
      <c r="AP55" s="84"/>
      <c r="AQ55" s="85">
        <f>Table3[[#This Row],[R]]*10</f>
        <v>0</v>
      </c>
      <c r="AR55" s="20">
        <f>Table3[[#This Row],[R2]]*10</f>
        <v>0</v>
      </c>
      <c r="AS55" s="20">
        <f>Table3[[#This Row],[R3]]*10</f>
        <v>0</v>
      </c>
      <c r="AT55" s="20">
        <f>Table3[[#This Row],[R]]/10</f>
        <v>0</v>
      </c>
      <c r="AU55" s="20">
        <f>Table3[[#This Row],[R5]]/10</f>
        <v>0</v>
      </c>
      <c r="AV55" s="20">
        <f>Table3[[#This Row],[R6]]/10</f>
        <v>0</v>
      </c>
      <c r="AW55" s="20">
        <f>Table3[[#This Row],[R7]]/10</f>
        <v>0</v>
      </c>
      <c r="AX55" s="20">
        <f>Table3[[#This Row],[R8]]/10</f>
        <v>0</v>
      </c>
      <c r="AY55" s="20">
        <f>Table3[[#This Row],[R9]]/10</f>
        <v>0</v>
      </c>
    </row>
    <row r="56" spans="2:51" ht="26.1" customHeight="1">
      <c r="B56" s="111"/>
      <c r="C56" s="111"/>
      <c r="D56" s="111"/>
      <c r="E56" s="24"/>
      <c r="F56" s="24"/>
      <c r="G56" s="24"/>
      <c r="H56" s="112"/>
      <c r="I56" s="112"/>
      <c r="J56" s="638" t="str">
        <f>IF(IF(K7="[Select Configuration]", "Differential", IF(K8="[Select Device]", "Differential", VLOOKUP(K8, Devices[], COLUMN(Devices[Output Type]), 0)))="Differential", "OPA Offset Drift", "OPA Offset Drift = 0")</f>
        <v>OPA Offset Drift</v>
      </c>
      <c r="K56" s="639"/>
      <c r="L56" s="8">
        <v>0.6</v>
      </c>
      <c r="N56" s="115" t="s">
        <v>383</v>
      </c>
      <c r="O56" s="117" t="str">
        <f>E78</f>
        <v xml:space="preserve"> </v>
      </c>
      <c r="AF56" s="25"/>
      <c r="AG56" s="48"/>
      <c r="AP56" s="84"/>
      <c r="AQ56" s="85">
        <f>Table3[[#This Row],[R]]*10</f>
        <v>0</v>
      </c>
      <c r="AR56" s="20">
        <f>Table3[[#This Row],[R2]]*10</f>
        <v>0</v>
      </c>
      <c r="AS56" s="20">
        <f>Table3[[#This Row],[R3]]*10</f>
        <v>0</v>
      </c>
      <c r="AT56" s="20">
        <f>Table3[[#This Row],[R]]/10</f>
        <v>0</v>
      </c>
      <c r="AU56" s="20">
        <f>Table3[[#This Row],[R5]]/10</f>
        <v>0</v>
      </c>
      <c r="AV56" s="20">
        <f>Table3[[#This Row],[R6]]/10</f>
        <v>0</v>
      </c>
      <c r="AW56" s="20">
        <f>Table3[[#This Row],[R7]]/10</f>
        <v>0</v>
      </c>
      <c r="AX56" s="20">
        <f>Table3[[#This Row],[R8]]/10</f>
        <v>0</v>
      </c>
      <c r="AY56" s="20">
        <f>Table3[[#This Row],[R9]]/10</f>
        <v>0</v>
      </c>
    </row>
    <row r="57" spans="2:51" ht="26.1" customHeight="1">
      <c r="B57" s="111"/>
      <c r="C57" s="111"/>
      <c r="D57" s="111"/>
      <c r="E57" s="24"/>
      <c r="F57" s="24"/>
      <c r="G57" s="24"/>
      <c r="H57" s="112"/>
      <c r="I57" s="112"/>
      <c r="J57" s="638" t="str">
        <f>IF(IF(K7="[Select Configuration]", "Differential", IF(K8="[Select Device]", "Differential", VLOOKUP(K8, Devices[], COLUMN(Devices[Output Type]), 0)))="Differential", "OPA Rf/Rg Tolerance", "OPA Rf/Rg Tolerance = 0")</f>
        <v>OPA Rf/Rg Tolerance</v>
      </c>
      <c r="K57" s="639"/>
      <c r="L57" s="9">
        <v>0.1</v>
      </c>
      <c r="N57" s="115" t="s">
        <v>384</v>
      </c>
      <c r="O57" s="118" t="str">
        <f>F78</f>
        <v xml:space="preserve"> </v>
      </c>
      <c r="AF57" s="25"/>
      <c r="AG57" s="48"/>
      <c r="AP57" s="84"/>
      <c r="AQ57" s="85">
        <f>Table3[[#This Row],[R]]*10</f>
        <v>0</v>
      </c>
      <c r="AR57" s="20">
        <f>Table3[[#This Row],[R2]]*10</f>
        <v>0</v>
      </c>
      <c r="AS57" s="20">
        <f>Table3[[#This Row],[R3]]*10</f>
        <v>0</v>
      </c>
      <c r="AT57" s="20">
        <f>Table3[[#This Row],[R]]/10</f>
        <v>0</v>
      </c>
      <c r="AU57" s="20">
        <f>Table3[[#This Row],[R5]]/10</f>
        <v>0</v>
      </c>
      <c r="AV57" s="20">
        <f>Table3[[#This Row],[R6]]/10</f>
        <v>0</v>
      </c>
      <c r="AW57" s="20">
        <f>Table3[[#This Row],[R7]]/10</f>
        <v>0</v>
      </c>
      <c r="AX57" s="20">
        <f>Table3[[#This Row],[R8]]/10</f>
        <v>0</v>
      </c>
      <c r="AY57" s="20">
        <f>Table3[[#This Row],[R9]]/10</f>
        <v>0</v>
      </c>
    </row>
    <row r="58" spans="2:51" ht="26.1" customHeight="1" thickBot="1">
      <c r="B58" s="111"/>
      <c r="C58" s="111"/>
      <c r="D58" s="111"/>
      <c r="E58" s="24"/>
      <c r="F58" s="24"/>
      <c r="G58" s="24"/>
      <c r="H58" s="112"/>
      <c r="I58" s="112"/>
      <c r="J58" s="638" t="str">
        <f>IF(IF(K7="[Select Configuration]", "Differential", IF(K8="[Select Device]", "Differential", VLOOKUP(K8, Devices[], COLUMN(Devices[Output Type]), 0)))="Differential", "OPA Rf/Rg Drift", "OPA Rf/Rg Drift = 0")</f>
        <v>OPA Rf/Rg Drift</v>
      </c>
      <c r="K58" s="639"/>
      <c r="L58" s="12">
        <v>50</v>
      </c>
      <c r="N58" s="119" t="s">
        <v>385</v>
      </c>
      <c r="O58" s="120" t="str">
        <f>H78</f>
        <v xml:space="preserve"> </v>
      </c>
      <c r="AF58" s="25"/>
      <c r="AG58" s="48"/>
      <c r="AP58" s="84"/>
      <c r="AQ58" s="85">
        <f>Table3[[#This Row],[R]]*10</f>
        <v>0</v>
      </c>
      <c r="AR58" s="20">
        <f>Table3[[#This Row],[R2]]*10</f>
        <v>0</v>
      </c>
      <c r="AS58" s="20">
        <f>Table3[[#This Row],[R3]]*10</f>
        <v>0</v>
      </c>
      <c r="AT58" s="20">
        <f>Table3[[#This Row],[R]]/10</f>
        <v>0</v>
      </c>
      <c r="AU58" s="20">
        <f>Table3[[#This Row],[R5]]/10</f>
        <v>0</v>
      </c>
      <c r="AV58" s="20">
        <f>Table3[[#This Row],[R6]]/10</f>
        <v>0</v>
      </c>
      <c r="AW58" s="20">
        <f>Table3[[#This Row],[R7]]/10</f>
        <v>0</v>
      </c>
      <c r="AX58" s="20">
        <f>Table3[[#This Row],[R8]]/10</f>
        <v>0</v>
      </c>
      <c r="AY58" s="20">
        <f>Table3[[#This Row],[R9]]/10</f>
        <v>0</v>
      </c>
    </row>
    <row r="59" spans="2:51" ht="26.1" customHeight="1" thickBot="1">
      <c r="B59" s="111"/>
      <c r="C59" s="111"/>
      <c r="D59" s="111"/>
      <c r="E59" s="24"/>
      <c r="F59" s="24"/>
      <c r="G59" s="24"/>
      <c r="H59" s="112"/>
      <c r="I59" s="112"/>
      <c r="J59" s="496" t="str">
        <f>IF(IF(K7="[Select Configuration]", "Differential", IF(K8="[Select Device]", "Differential", VLOOKUP(K8, Devices[], COLUMN(Devices[Output Type]), 0)))="Differential", "Rf", "Rf = 1")</f>
        <v>Rf</v>
      </c>
      <c r="K59" s="497"/>
      <c r="L59" s="10">
        <v>4.0999999999999996</v>
      </c>
      <c r="AF59" s="25" t="s">
        <v>307</v>
      </c>
      <c r="AG59" s="121" t="e">
        <f>K9*K19/(K19+AG39)*1000</f>
        <v>#VALUE!</v>
      </c>
      <c r="AP59" s="66">
        <v>28.7</v>
      </c>
      <c r="AQ59" s="18">
        <f>Table3[[#This Row],[R]]*10</f>
        <v>287</v>
      </c>
      <c r="AR59" s="19">
        <f>Table3[[#This Row],[R2]]*10</f>
        <v>2870</v>
      </c>
      <c r="AS59" s="19">
        <f>Table3[[#This Row],[R3]]*10</f>
        <v>28700</v>
      </c>
      <c r="AT59" s="19">
        <f>Table3[[#This Row],[R4]]*10</f>
        <v>287000</v>
      </c>
      <c r="AU59" s="20">
        <f>Table3[[#This Row],[R]]/10</f>
        <v>2.87</v>
      </c>
      <c r="AV59" s="20">
        <f>Table3[[#This Row],[R6]]/10</f>
        <v>0.28700000000000003</v>
      </c>
      <c r="AW59" s="20">
        <f>Table3[[#This Row],[R7]]/10</f>
        <v>2.8700000000000003E-2</v>
      </c>
      <c r="AX59" s="20">
        <f>Table3[[#This Row],[R8]]/10</f>
        <v>2.8700000000000002E-3</v>
      </c>
      <c r="AY59" s="20">
        <f>Table3[[#This Row],[R9]]/10</f>
        <v>2.8700000000000004E-4</v>
      </c>
    </row>
    <row r="60" spans="2:51" ht="26.1" customHeight="1" thickBot="1">
      <c r="B60" s="122"/>
      <c r="J60" s="498" t="str">
        <f>IF(IF(K7="[Select Configuration]", "Differential", IF(K8="[Select Device]", "Differential", VLOOKUP(K8, Devices[], COLUMN(Devices[Output Type]), 0)))="Differential", "Rg", "Rg = 1")</f>
        <v>Rg</v>
      </c>
      <c r="K60" s="499"/>
      <c r="L60" s="123">
        <v>3.3</v>
      </c>
      <c r="AF60" s="25" t="s">
        <v>308</v>
      </c>
      <c r="AG60" s="48" t="e">
        <f>K9*K19/(K19+AG40)*1000</f>
        <v>#VALUE!</v>
      </c>
      <c r="AP60" s="66">
        <v>29.4</v>
      </c>
      <c r="AQ60" s="18">
        <f>Table3[[#This Row],[R]]*10</f>
        <v>294</v>
      </c>
      <c r="AR60" s="19">
        <f>Table3[[#This Row],[R2]]*10</f>
        <v>2940</v>
      </c>
      <c r="AS60" s="19">
        <f>Table3[[#This Row],[R3]]*10</f>
        <v>29400</v>
      </c>
      <c r="AT60" s="19">
        <f>Table3[[#This Row],[R4]]*10</f>
        <v>294000</v>
      </c>
      <c r="AU60" s="20">
        <f>Table3[[#This Row],[R]]/10</f>
        <v>2.94</v>
      </c>
      <c r="AV60" s="20">
        <f>Table3[[#This Row],[R6]]/10</f>
        <v>0.29399999999999998</v>
      </c>
      <c r="AW60" s="20">
        <f>Table3[[#This Row],[R7]]/10</f>
        <v>2.9399999999999999E-2</v>
      </c>
      <c r="AX60" s="20">
        <f>Table3[[#This Row],[R8]]/10</f>
        <v>2.9399999999999999E-3</v>
      </c>
      <c r="AY60" s="20">
        <f>Table3[[#This Row],[R9]]/10</f>
        <v>2.9399999999999999E-4</v>
      </c>
    </row>
    <row r="61" spans="2:51" ht="15" customHeight="1" thickBot="1">
      <c r="B61" s="122"/>
      <c r="F61" s="124"/>
      <c r="N61" s="125"/>
      <c r="O61" s="126"/>
      <c r="AF61" s="25" t="s">
        <v>309</v>
      </c>
      <c r="AG61" s="48" t="e">
        <f>K9*AG42/(AG42+AG36)*1000</f>
        <v>#VALUE!</v>
      </c>
      <c r="AP61" s="66">
        <v>30.1</v>
      </c>
      <c r="AQ61" s="18">
        <f>Table3[[#This Row],[R]]*10</f>
        <v>301</v>
      </c>
      <c r="AR61" s="19">
        <f>Table3[[#This Row],[R2]]*10</f>
        <v>3010</v>
      </c>
      <c r="AS61" s="19">
        <f>Table3[[#This Row],[R3]]*10</f>
        <v>30100</v>
      </c>
      <c r="AT61" s="19">
        <f>Table3[[#This Row],[R4]]*10</f>
        <v>301000</v>
      </c>
      <c r="AU61" s="20">
        <f>Table3[[#This Row],[R]]/10</f>
        <v>3.0100000000000002</v>
      </c>
      <c r="AV61" s="20">
        <f>Table3[[#This Row],[R6]]/10</f>
        <v>0.30100000000000005</v>
      </c>
      <c r="AW61" s="20">
        <f>Table3[[#This Row],[R7]]/10</f>
        <v>3.0100000000000005E-2</v>
      </c>
      <c r="AX61" s="20">
        <f>Table3[[#This Row],[R8]]/10</f>
        <v>3.0100000000000005E-3</v>
      </c>
      <c r="AY61" s="20">
        <f>Table3[[#This Row],[R9]]/10</f>
        <v>3.0100000000000005E-4</v>
      </c>
    </row>
    <row r="62" spans="2:51" ht="18.75" thickBot="1">
      <c r="B62" s="644" t="str">
        <f>"Resistor Divider + Isolated Amplifier + Differential to Single-ended Conversion Error Calculation Across Temperature ("&amp;K15&amp;"°C to + "&amp;K16&amp;"°C)"</f>
        <v>Resistor Divider + Isolated Amplifier + Differential to Single-ended Conversion Error Calculation Across Temperature (-40°C to + 125°C)</v>
      </c>
      <c r="C62" s="645"/>
      <c r="D62" s="645"/>
      <c r="E62" s="645"/>
      <c r="F62" s="645"/>
      <c r="G62" s="645"/>
      <c r="H62" s="645"/>
      <c r="I62" s="645"/>
      <c r="J62" s="645"/>
      <c r="K62" s="645"/>
      <c r="L62" s="646"/>
      <c r="N62" s="127"/>
      <c r="O62" s="127"/>
      <c r="AF62" s="25" t="s">
        <v>310</v>
      </c>
      <c r="AG62" s="48" t="e">
        <f>K9*AG45/(AG42+AG36)*1000</f>
        <v>#VALUE!</v>
      </c>
      <c r="AP62" s="74">
        <v>30.9</v>
      </c>
      <c r="AQ62" s="18">
        <f>Table3[[#This Row],[R]]*10</f>
        <v>309</v>
      </c>
      <c r="AR62" s="19">
        <f>Table3[[#This Row],[R2]]*10</f>
        <v>3090</v>
      </c>
      <c r="AS62" s="19">
        <f>Table3[[#This Row],[R3]]*10</f>
        <v>30900</v>
      </c>
      <c r="AT62" s="19">
        <f>Table3[[#This Row],[R4]]*10</f>
        <v>309000</v>
      </c>
      <c r="AU62" s="20">
        <f>Table3[[#This Row],[R]]/10</f>
        <v>3.09</v>
      </c>
      <c r="AV62" s="20">
        <f>Table3[[#This Row],[R6]]/10</f>
        <v>0.309</v>
      </c>
      <c r="AW62" s="20">
        <f>Table3[[#This Row],[R7]]/10</f>
        <v>3.09E-2</v>
      </c>
      <c r="AX62" s="20">
        <f>Table3[[#This Row],[R8]]/10</f>
        <v>3.0899999999999999E-3</v>
      </c>
      <c r="AY62" s="20">
        <f>Table3[[#This Row],[R9]]/10</f>
        <v>3.0899999999999998E-4</v>
      </c>
    </row>
    <row r="63" spans="2:51" ht="18.75" thickBot="1">
      <c r="B63" s="647"/>
      <c r="C63" s="648"/>
      <c r="D63" s="648"/>
      <c r="E63" s="648"/>
      <c r="F63" s="648"/>
      <c r="G63" s="648"/>
      <c r="H63" s="648"/>
      <c r="I63" s="648"/>
      <c r="J63" s="648"/>
      <c r="K63" s="648"/>
      <c r="L63" s="649"/>
      <c r="N63" s="125"/>
      <c r="O63" s="128"/>
      <c r="AF63" s="25" t="s">
        <v>311</v>
      </c>
      <c r="AG63" s="48" t="e">
        <f>K9*AG47/(AG47+AG36)*1000</f>
        <v>#VALUE!</v>
      </c>
      <c r="AP63" s="58">
        <v>31.6</v>
      </c>
      <c r="AQ63" s="18">
        <f>Table3[[#This Row],[R]]*10</f>
        <v>316</v>
      </c>
      <c r="AR63" s="19">
        <f>Table3[[#This Row],[R2]]*10</f>
        <v>3160</v>
      </c>
      <c r="AS63" s="19">
        <f>Table3[[#This Row],[R3]]*10</f>
        <v>31600</v>
      </c>
      <c r="AT63" s="19">
        <f>Table3[[#This Row],[R4]]*10</f>
        <v>316000</v>
      </c>
      <c r="AU63" s="20">
        <f>Table3[[#This Row],[R]]/10</f>
        <v>3.16</v>
      </c>
      <c r="AV63" s="20">
        <f>Table3[[#This Row],[R6]]/10</f>
        <v>0.316</v>
      </c>
      <c r="AW63" s="20">
        <f>Table3[[#This Row],[R7]]/10</f>
        <v>3.1600000000000003E-2</v>
      </c>
      <c r="AX63" s="20">
        <f>Table3[[#This Row],[R8]]/10</f>
        <v>3.1600000000000005E-3</v>
      </c>
      <c r="AY63" s="20">
        <f>Table3[[#This Row],[R9]]/10</f>
        <v>3.1600000000000004E-4</v>
      </c>
    </row>
    <row r="64" spans="2:51" ht="18.75" thickBot="1">
      <c r="B64" s="669">
        <v>1</v>
      </c>
      <c r="C64" s="670"/>
      <c r="D64" s="669">
        <v>2</v>
      </c>
      <c r="E64" s="671"/>
      <c r="F64" s="670">
        <v>3</v>
      </c>
      <c r="G64" s="670"/>
      <c r="H64" s="670"/>
      <c r="I64" s="671"/>
      <c r="J64" s="670" t="s">
        <v>273</v>
      </c>
      <c r="K64" s="670"/>
      <c r="L64" s="671"/>
      <c r="N64" s="127"/>
      <c r="O64" s="127"/>
      <c r="AF64" s="70" t="s">
        <v>312</v>
      </c>
      <c r="AG64" s="129" t="e">
        <f>K9*AG48/(AG48+AG36)*1000</f>
        <v>#VALUE!</v>
      </c>
      <c r="AP64" s="66">
        <v>32.4</v>
      </c>
      <c r="AQ64" s="18">
        <f>Table3[[#This Row],[R]]*10</f>
        <v>324</v>
      </c>
      <c r="AR64" s="19">
        <f>Table3[[#This Row],[R2]]*10</f>
        <v>3240</v>
      </c>
      <c r="AS64" s="19">
        <f>Table3[[#This Row],[R3]]*10</f>
        <v>32400</v>
      </c>
      <c r="AT64" s="19">
        <f>Table3[[#This Row],[R4]]*10</f>
        <v>324000</v>
      </c>
      <c r="AU64" s="20">
        <f>Table3[[#This Row],[R]]/10</f>
        <v>3.2399999999999998</v>
      </c>
      <c r="AV64" s="20">
        <f>Table3[[#This Row],[R6]]/10</f>
        <v>0.32399999999999995</v>
      </c>
      <c r="AW64" s="20">
        <f>Table3[[#This Row],[R7]]/10</f>
        <v>3.2399999999999998E-2</v>
      </c>
      <c r="AX64" s="20">
        <f>Table3[[#This Row],[R8]]/10</f>
        <v>3.2399999999999998E-3</v>
      </c>
      <c r="AY64" s="20">
        <f>Table3[[#This Row],[R9]]/10</f>
        <v>3.2399999999999996E-4</v>
      </c>
    </row>
    <row r="65" spans="2:51" ht="33" customHeight="1" thickBot="1">
      <c r="B65" s="650" t="s">
        <v>388</v>
      </c>
      <c r="C65" s="652"/>
      <c r="D65" s="650" t="s">
        <v>387</v>
      </c>
      <c r="E65" s="651"/>
      <c r="F65" s="653" t="s">
        <v>379</v>
      </c>
      <c r="G65" s="653"/>
      <c r="H65" s="653"/>
      <c r="I65" s="653"/>
      <c r="J65" s="650" t="s">
        <v>389</v>
      </c>
      <c r="K65" s="652"/>
      <c r="L65" s="651"/>
      <c r="N65" s="125"/>
      <c r="O65" s="130"/>
      <c r="AF65" s="624" t="s">
        <v>313</v>
      </c>
      <c r="AG65" s="625"/>
      <c r="AP65" s="66">
        <v>33.200000000000003</v>
      </c>
      <c r="AQ65" s="18">
        <f>Table3[[#This Row],[R]]*10</f>
        <v>332</v>
      </c>
      <c r="AR65" s="19">
        <f>Table3[[#This Row],[R2]]*10</f>
        <v>3320</v>
      </c>
      <c r="AS65" s="19">
        <f>Table3[[#This Row],[R3]]*10</f>
        <v>33200</v>
      </c>
      <c r="AT65" s="19">
        <f>Table3[[#This Row],[R4]]*10</f>
        <v>332000</v>
      </c>
      <c r="AU65" s="20">
        <f>Table3[[#This Row],[R]]/10</f>
        <v>3.3200000000000003</v>
      </c>
      <c r="AV65" s="20">
        <f>Table3[[#This Row],[R6]]/10</f>
        <v>0.33200000000000002</v>
      </c>
      <c r="AW65" s="20">
        <f>Table3[[#This Row],[R7]]/10</f>
        <v>3.32E-2</v>
      </c>
      <c r="AX65" s="20">
        <f>Table3[[#This Row],[R8]]/10</f>
        <v>3.32E-3</v>
      </c>
      <c r="AY65" s="20">
        <f>Table3[[#This Row],[R9]]/10</f>
        <v>3.3199999999999999E-4</v>
      </c>
    </row>
    <row r="66" spans="2:51" ht="18.75" thickBot="1">
      <c r="B66" s="131" t="s">
        <v>185</v>
      </c>
      <c r="C66" s="132" t="str">
        <f>IF(OR(K8="[Select Device]",K7="[Select Configuration]")," ",(K34/$K$32)*1000)</f>
        <v xml:space="preserve"> </v>
      </c>
      <c r="D66" s="133" t="s">
        <v>289</v>
      </c>
      <c r="E66" s="11">
        <v>0.1</v>
      </c>
      <c r="F66" s="817" t="s">
        <v>274</v>
      </c>
      <c r="G66" s="818"/>
      <c r="H66" s="630" t="str">
        <f>IF(OR(K8="[Select Device]", K7="[Select Configuration]"), " ", $L$59/$L$60)</f>
        <v xml:space="preserve"> </v>
      </c>
      <c r="I66" s="631"/>
      <c r="J66" s="817" t="s">
        <v>185</v>
      </c>
      <c r="K66" s="818"/>
      <c r="L66" s="134" t="str">
        <f>IF(OR(K8="[Select Device]",K7="[Select Configuration]")," ",SQRT(SUMSQ($E$70,$C$66,$H$69)))</f>
        <v xml:space="preserve"> </v>
      </c>
      <c r="AF66" s="45" t="s">
        <v>94</v>
      </c>
      <c r="AG66" s="48" t="e">
        <f>K9*K19/(K19+AG36)*1000</f>
        <v>#VALUE!</v>
      </c>
      <c r="AP66" s="66">
        <v>34</v>
      </c>
      <c r="AQ66" s="18">
        <f>Table3[[#This Row],[R]]*10</f>
        <v>340</v>
      </c>
      <c r="AR66" s="19">
        <f>Table3[[#This Row],[R2]]*10</f>
        <v>3400</v>
      </c>
      <c r="AS66" s="19">
        <f>Table3[[#This Row],[R3]]*10</f>
        <v>34000</v>
      </c>
      <c r="AT66" s="19">
        <f>Table3[[#This Row],[R4]]*10</f>
        <v>340000</v>
      </c>
      <c r="AU66" s="20">
        <f>Table3[[#This Row],[R]]/10</f>
        <v>3.4</v>
      </c>
      <c r="AV66" s="20">
        <f>Table3[[#This Row],[R6]]/10</f>
        <v>0.33999999999999997</v>
      </c>
      <c r="AW66" s="20">
        <f>Table3[[#This Row],[R7]]/10</f>
        <v>3.3999999999999996E-2</v>
      </c>
      <c r="AX66" s="20">
        <f>Table3[[#This Row],[R8]]/10</f>
        <v>3.3999999999999994E-3</v>
      </c>
      <c r="AY66" s="20">
        <f>Table3[[#This Row],[R9]]/10</f>
        <v>3.3999999999999992E-4</v>
      </c>
    </row>
    <row r="67" spans="2:51" ht="18.75" thickBot="1">
      <c r="B67" s="135" t="s">
        <v>186</v>
      </c>
      <c r="C67" s="136" t="str">
        <f>IF(OR(K8="[Select Device]",K7="[Select Configuration]")," ",(K35/$K$32)*1000)</f>
        <v xml:space="preserve"> </v>
      </c>
      <c r="D67" s="137" t="s">
        <v>290</v>
      </c>
      <c r="E67" s="12">
        <v>50</v>
      </c>
      <c r="F67" s="640" t="s">
        <v>276</v>
      </c>
      <c r="G67" s="641"/>
      <c r="H67" s="632" t="str">
        <f>IF(OR(K8="[Select Device]",K7="[Select Configuration]")," ",G32*VLOOKUP(K8,Devices[],COLUMN(Devices[Gain]),0))</f>
        <v xml:space="preserve"> </v>
      </c>
      <c r="I67" s="633"/>
      <c r="J67" s="640" t="s">
        <v>186</v>
      </c>
      <c r="K67" s="641"/>
      <c r="L67" s="138" t="str">
        <f>IF(OR(K8="[Select Device]",K7="[Select Configuration]")," ",SQRT(SUMSQ($E$71,$C$67,$H$70)))</f>
        <v xml:space="preserve"> </v>
      </c>
      <c r="AF67" s="25" t="s">
        <v>317</v>
      </c>
      <c r="AG67" s="139" t="e">
        <f>ABS((AG53-AG51)/AG51)</f>
        <v>#VALUE!</v>
      </c>
      <c r="AP67" s="66">
        <v>34.799999999999997</v>
      </c>
      <c r="AQ67" s="18">
        <f>Table3[[#This Row],[R]]*10</f>
        <v>348</v>
      </c>
      <c r="AR67" s="19">
        <f>Table3[[#This Row],[R2]]*10</f>
        <v>3480</v>
      </c>
      <c r="AS67" s="19">
        <f>Table3[[#This Row],[R3]]*10</f>
        <v>34800</v>
      </c>
      <c r="AT67" s="19">
        <f>Table3[[#This Row],[R4]]*10</f>
        <v>348000</v>
      </c>
      <c r="AU67" s="20">
        <f>Table3[[#This Row],[R]]/10</f>
        <v>3.4799999999999995</v>
      </c>
      <c r="AV67" s="20">
        <f>Table3[[#This Row],[R6]]/10</f>
        <v>0.34799999999999998</v>
      </c>
      <c r="AW67" s="20">
        <f>Table3[[#This Row],[R7]]/10</f>
        <v>3.4799999999999998E-2</v>
      </c>
      <c r="AX67" s="20">
        <f>Table3[[#This Row],[R8]]/10</f>
        <v>3.4799999999999996E-3</v>
      </c>
      <c r="AY67" s="20">
        <f>Table3[[#This Row],[R9]]/10</f>
        <v>3.4799999999999995E-4</v>
      </c>
    </row>
    <row r="68" spans="2:51" ht="18.75" thickBot="1">
      <c r="B68" s="135" t="s">
        <v>187</v>
      </c>
      <c r="C68" s="136" t="str">
        <f>IF(OR(K8="[Select Device]",K7="[Select Configuration]")," ",(H66*K36/$K$32)*1000)</f>
        <v xml:space="preserve"> </v>
      </c>
      <c r="D68" s="137" t="s">
        <v>295</v>
      </c>
      <c r="E68" s="9">
        <v>0.1</v>
      </c>
      <c r="F68" s="806" t="s">
        <v>279</v>
      </c>
      <c r="G68" s="807"/>
      <c r="H68" s="634" t="str">
        <f>IF(OR(K8="[Select Device]",K7="[Select Configuration]")," ",H67*H66)</f>
        <v xml:space="preserve"> </v>
      </c>
      <c r="I68" s="635"/>
      <c r="J68" s="640" t="s">
        <v>187</v>
      </c>
      <c r="K68" s="641"/>
      <c r="L68" s="138" t="str">
        <f>IF(OR(K8="[Select Device]",K7="[Select Configuration]")," ",SQRT(SUMSQ($C$68,$H$71)))</f>
        <v xml:space="preserve"> </v>
      </c>
      <c r="AF68" s="25" t="s">
        <v>318</v>
      </c>
      <c r="AG68" s="140" t="e">
        <f>ABS((AG54-AG51)/AG51)</f>
        <v>#VALUE!</v>
      </c>
      <c r="AP68" s="66">
        <v>35.700000000000003</v>
      </c>
      <c r="AQ68" s="18">
        <f>Table3[[#This Row],[R]]*10</f>
        <v>357</v>
      </c>
      <c r="AR68" s="19">
        <f>Table3[[#This Row],[R2]]*10</f>
        <v>3570</v>
      </c>
      <c r="AS68" s="19">
        <f>Table3[[#This Row],[R3]]*10</f>
        <v>35700</v>
      </c>
      <c r="AT68" s="19">
        <f>Table3[[#This Row],[R4]]*10</f>
        <v>357000</v>
      </c>
      <c r="AU68" s="20">
        <f>Table3[[#This Row],[R]]/10</f>
        <v>3.5700000000000003</v>
      </c>
      <c r="AV68" s="20">
        <f>Table3[[#This Row],[R6]]/10</f>
        <v>0.35700000000000004</v>
      </c>
      <c r="AW68" s="20">
        <f>Table3[[#This Row],[R7]]/10</f>
        <v>3.5700000000000003E-2</v>
      </c>
      <c r="AX68" s="20">
        <f>Table3[[#This Row],[R8]]/10</f>
        <v>3.5700000000000003E-3</v>
      </c>
      <c r="AY68" s="20">
        <f>Table3[[#This Row],[R9]]/10</f>
        <v>3.57E-4</v>
      </c>
    </row>
    <row r="69" spans="2:51" ht="18.75" thickBot="1">
      <c r="B69" s="135" t="s">
        <v>188</v>
      </c>
      <c r="C69" s="136" t="str">
        <f>IF(OR(K8="[Select Device]",K7="[Select Configuration]")," ",(H66*K37/$K$32)*1000)</f>
        <v xml:space="preserve"> </v>
      </c>
      <c r="D69" s="141" t="s">
        <v>296</v>
      </c>
      <c r="E69" s="13">
        <v>50</v>
      </c>
      <c r="F69" s="800" t="s">
        <v>185</v>
      </c>
      <c r="G69" s="641"/>
      <c r="H69" s="637" t="str">
        <f>IF(OR(K8="[Select Device]",K7="[Select Configuration]")," ",L57*2*H68/100/$H$68*1000000)</f>
        <v xml:space="preserve"> </v>
      </c>
      <c r="I69" s="637"/>
      <c r="J69" s="640" t="s">
        <v>188</v>
      </c>
      <c r="K69" s="641"/>
      <c r="L69" s="138" t="str">
        <f>IF(OR(K8="[Select Device]",K7="[Select Configuration]")," ",SQRT(SUMSQ($C$69,$H$72)))</f>
        <v xml:space="preserve"> </v>
      </c>
      <c r="AF69" s="25" t="s">
        <v>319</v>
      </c>
      <c r="AG69" s="142" t="e">
        <f>ABS((AG59-AG51)/AG51)</f>
        <v>#VALUE!</v>
      </c>
      <c r="AP69" s="66">
        <v>36.5</v>
      </c>
      <c r="AQ69" s="18">
        <f>Table3[[#This Row],[R]]*10</f>
        <v>365</v>
      </c>
      <c r="AR69" s="19">
        <f>Table3[[#This Row],[R2]]*10</f>
        <v>3650</v>
      </c>
      <c r="AS69" s="19">
        <f>Table3[[#This Row],[R3]]*10</f>
        <v>36500</v>
      </c>
      <c r="AT69" s="19">
        <f>Table3[[#This Row],[R4]]*10</f>
        <v>365000</v>
      </c>
      <c r="AU69" s="20">
        <f>Table3[[#This Row],[R]]/10</f>
        <v>3.65</v>
      </c>
      <c r="AV69" s="20">
        <f>Table3[[#This Row],[R6]]/10</f>
        <v>0.36499999999999999</v>
      </c>
      <c r="AW69" s="20">
        <f>Table3[[#This Row],[R7]]/10</f>
        <v>3.6499999999999998E-2</v>
      </c>
      <c r="AX69" s="20">
        <f>Table3[[#This Row],[R8]]/10</f>
        <v>3.6499999999999996E-3</v>
      </c>
      <c r="AY69" s="20">
        <f>Table3[[#This Row],[R9]]/10</f>
        <v>3.6499999999999998E-4</v>
      </c>
    </row>
    <row r="70" spans="2:51" ht="18.75" thickBot="1">
      <c r="B70" s="135" t="s">
        <v>1</v>
      </c>
      <c r="C70" s="136" t="str">
        <f>IF(OR(K8="[Select Device]",K7="[Select Configuration]")," ",(K38/$K$32)*1000)</f>
        <v xml:space="preserve"> </v>
      </c>
      <c r="D70" s="137" t="s">
        <v>185</v>
      </c>
      <c r="E70" s="143" t="str">
        <f>IF(OR(K8="[Select Device]",K7="[Select Configuration]")," ",AG80*1000000)</f>
        <v xml:space="preserve"> </v>
      </c>
      <c r="F70" s="800" t="s">
        <v>186</v>
      </c>
      <c r="G70" s="641"/>
      <c r="H70" s="637" t="str">
        <f>IF(OR(K8="[Select Device]",K7="[Select Configuration]")," ",L54*Temp_Range/1000/$H$68*1000000)</f>
        <v xml:space="preserve"> </v>
      </c>
      <c r="I70" s="637"/>
      <c r="J70" s="640" t="s">
        <v>1</v>
      </c>
      <c r="K70" s="641"/>
      <c r="L70" s="138" t="str">
        <f>IF(OR(K8="[Select Device]",K7="[Select Configuration]")," ",SQRT(SUMSQ($C$70,$J$88)))</f>
        <v xml:space="preserve"> </v>
      </c>
      <c r="AF70" s="25" t="s">
        <v>320</v>
      </c>
      <c r="AG70" s="140" t="e">
        <f>ABS((AG60-AG51)/AG51)</f>
        <v>#VALUE!</v>
      </c>
      <c r="AP70" s="74">
        <v>37.4</v>
      </c>
      <c r="AQ70" s="18">
        <f>Table3[[#This Row],[R]]*10</f>
        <v>374</v>
      </c>
      <c r="AR70" s="19">
        <f>Table3[[#This Row],[R2]]*10</f>
        <v>3740</v>
      </c>
      <c r="AS70" s="19">
        <f>Table3[[#This Row],[R3]]*10</f>
        <v>37400</v>
      </c>
      <c r="AT70" s="19">
        <f>Table3[[#This Row],[R4]]*10</f>
        <v>374000</v>
      </c>
      <c r="AU70" s="20">
        <f>Table3[[#This Row],[R]]/10</f>
        <v>3.7399999999999998</v>
      </c>
      <c r="AV70" s="20">
        <f>Table3[[#This Row],[R6]]/10</f>
        <v>0.374</v>
      </c>
      <c r="AW70" s="20">
        <f>Table3[[#This Row],[R7]]/10</f>
        <v>3.7400000000000003E-2</v>
      </c>
      <c r="AX70" s="20">
        <f>Table3[[#This Row],[R8]]/10</f>
        <v>3.7400000000000003E-3</v>
      </c>
      <c r="AY70" s="20">
        <f>Table3[[#This Row],[R9]]/10</f>
        <v>3.7400000000000004E-4</v>
      </c>
    </row>
    <row r="71" spans="2:51" ht="18.75" thickBot="1">
      <c r="B71" s="135" t="s">
        <v>2</v>
      </c>
      <c r="C71" s="136" t="str">
        <f>IF(OR(K8="[Select Device]",K7="[Select Configuration]")," ",(K39/$K$32)*1000)</f>
        <v xml:space="preserve"> </v>
      </c>
      <c r="D71" s="141" t="s">
        <v>186</v>
      </c>
      <c r="E71" s="144" t="str">
        <f>IF(OR(K8="[Select Device]",K7="[Select Configuration]")," ",(AG81-AG80)*1000000)</f>
        <v xml:space="preserve"> </v>
      </c>
      <c r="F71" s="800" t="s">
        <v>187</v>
      </c>
      <c r="G71" s="641"/>
      <c r="H71" s="637" t="str">
        <f>IF(OR(K8="[Select Device]",K7="[Select Configuration]")," ",(L55+L53)*$H$66/$H$68*1000000)</f>
        <v xml:space="preserve"> </v>
      </c>
      <c r="I71" s="637"/>
      <c r="J71" s="640" t="s">
        <v>2</v>
      </c>
      <c r="K71" s="641"/>
      <c r="L71" s="138" t="str">
        <f>IF(OR(K8="[Select Device]",K7="[Select Configuration]")," ",SQRT(SUMSQ($C$71,$J$89)))</f>
        <v xml:space="preserve"> </v>
      </c>
      <c r="AF71" s="25" t="s">
        <v>321</v>
      </c>
      <c r="AG71" s="140" t="e">
        <f>ABS((AG61-AG51)/AG51)</f>
        <v>#VALUE!</v>
      </c>
      <c r="AP71" s="58">
        <v>38.299999999999997</v>
      </c>
      <c r="AQ71" s="18">
        <f>Table3[[#This Row],[R]]*10</f>
        <v>383</v>
      </c>
      <c r="AR71" s="19">
        <f>Table3[[#This Row],[R2]]*10</f>
        <v>3830</v>
      </c>
      <c r="AS71" s="19">
        <f>Table3[[#This Row],[R3]]*10</f>
        <v>38300</v>
      </c>
      <c r="AT71" s="19">
        <f>Table3[[#This Row],[R4]]*10</f>
        <v>383000</v>
      </c>
      <c r="AU71" s="20">
        <f>Table3[[#This Row],[R]]/10</f>
        <v>3.8299999999999996</v>
      </c>
      <c r="AV71" s="20">
        <f>Table3[[#This Row],[R6]]/10</f>
        <v>0.38299999999999995</v>
      </c>
      <c r="AW71" s="20">
        <f>Table3[[#This Row],[R7]]/10</f>
        <v>3.8299999999999994E-2</v>
      </c>
      <c r="AX71" s="20">
        <f>Table3[[#This Row],[R8]]/10</f>
        <v>3.8299999999999992E-3</v>
      </c>
      <c r="AY71" s="20">
        <f>Table3[[#This Row],[R9]]/10</f>
        <v>3.8299999999999993E-4</v>
      </c>
    </row>
    <row r="72" spans="2:51" ht="18.75" thickBot="1">
      <c r="B72" s="145" t="s">
        <v>327</v>
      </c>
      <c r="C72" s="146" t="str">
        <f>IF(OR(K8="[Select Device]",K7="[Select Configuration]")," ",(H66*K40/$K$32)*1000+(K41/$K$32)*1000+(H66*K42/$K$32)*1000+(H66*K43/$K$32)*1000)</f>
        <v xml:space="preserve"> </v>
      </c>
      <c r="D72" s="147"/>
      <c r="E72" s="148"/>
      <c r="F72" s="801" t="s">
        <v>188</v>
      </c>
      <c r="G72" s="799"/>
      <c r="H72" s="777" t="str">
        <f>IF(OR(K8="[Select Device]",K7="[Select Configuration]")," ",(L56*Temp_Range/1000*$H$66/$H$68*1000000)+L54*1000)</f>
        <v xml:space="preserve"> </v>
      </c>
      <c r="I72" s="777"/>
      <c r="J72" s="798" t="s">
        <v>189</v>
      </c>
      <c r="K72" s="799"/>
      <c r="L72" s="149" t="str">
        <f>IF(OR(K8="[Select Device]",K7="[Select Configuration]")," ",SQRT(SUMSQ($C$72,$J$90)))</f>
        <v xml:space="preserve"> </v>
      </c>
      <c r="AF72" s="25" t="s">
        <v>322</v>
      </c>
      <c r="AG72" s="140" t="e">
        <f>ABS((AG62-AG51)/AG51)</f>
        <v>#VALUE!</v>
      </c>
      <c r="AP72" s="66">
        <v>39.200000000000003</v>
      </c>
      <c r="AQ72" s="18">
        <f>Table3[[#This Row],[R]]*10</f>
        <v>392</v>
      </c>
      <c r="AR72" s="19">
        <f>Table3[[#This Row],[R2]]*10</f>
        <v>3920</v>
      </c>
      <c r="AS72" s="19">
        <f>Table3[[#This Row],[R3]]*10</f>
        <v>39200</v>
      </c>
      <c r="AT72" s="19">
        <f>Table3[[#This Row],[R4]]*10</f>
        <v>392000</v>
      </c>
      <c r="AU72" s="20">
        <f>Table3[[#This Row],[R]]/10</f>
        <v>3.9200000000000004</v>
      </c>
      <c r="AV72" s="20">
        <f>Table3[[#This Row],[R6]]/10</f>
        <v>0.39200000000000002</v>
      </c>
      <c r="AW72" s="20">
        <f>Table3[[#This Row],[R7]]/10</f>
        <v>3.9199999999999999E-2</v>
      </c>
      <c r="AX72" s="20">
        <f>Table3[[#This Row],[R8]]/10</f>
        <v>3.9199999999999999E-3</v>
      </c>
      <c r="AY72" s="20">
        <f>Table3[[#This Row],[R9]]/10</f>
        <v>3.9199999999999999E-4</v>
      </c>
    </row>
    <row r="73" spans="2:51" ht="18.75" thickBot="1">
      <c r="B73" s="100" t="s">
        <v>361</v>
      </c>
      <c r="C73" s="150"/>
      <c r="D73" s="150"/>
      <c r="E73" s="151" t="s">
        <v>390</v>
      </c>
      <c r="F73" s="761" t="s">
        <v>282</v>
      </c>
      <c r="G73" s="670"/>
      <c r="H73" s="761" t="s">
        <v>391</v>
      </c>
      <c r="I73" s="670"/>
      <c r="J73" s="761" t="s">
        <v>392</v>
      </c>
      <c r="K73" s="762"/>
      <c r="L73" s="152" t="s">
        <v>291</v>
      </c>
      <c r="AF73" s="25" t="s">
        <v>323</v>
      </c>
      <c r="AG73" s="140" t="e">
        <f>ABS((AG63-AG51)/AG51)</f>
        <v>#VALUE!</v>
      </c>
      <c r="AP73" s="66">
        <v>40.200000000000003</v>
      </c>
      <c r="AQ73" s="18">
        <f>Table3[[#This Row],[R]]*10</f>
        <v>402</v>
      </c>
      <c r="AR73" s="19">
        <f>Table3[[#This Row],[R2]]*10</f>
        <v>4020</v>
      </c>
      <c r="AS73" s="19">
        <f>Table3[[#This Row],[R3]]*10</f>
        <v>40200</v>
      </c>
      <c r="AT73" s="19">
        <f>Table3[[#This Row],[R4]]*10</f>
        <v>402000</v>
      </c>
      <c r="AU73" s="20">
        <f>Table3[[#This Row],[R]]/10</f>
        <v>4.0200000000000005</v>
      </c>
      <c r="AV73" s="20">
        <f>Table3[[#This Row],[R6]]/10</f>
        <v>0.40200000000000002</v>
      </c>
      <c r="AW73" s="20">
        <f>Table3[[#This Row],[R7]]/10</f>
        <v>4.02E-2</v>
      </c>
      <c r="AX73" s="20">
        <f>Table3[[#This Row],[R8]]/10</f>
        <v>4.0200000000000001E-3</v>
      </c>
      <c r="AY73" s="20">
        <f>Table3[[#This Row],[R9]]/10</f>
        <v>4.0200000000000001E-4</v>
      </c>
    </row>
    <row r="74" spans="2:51" ht="18.75" thickBot="1">
      <c r="B74" s="153" t="s">
        <v>303</v>
      </c>
      <c r="C74" s="154"/>
      <c r="D74" s="154"/>
      <c r="E74" s="180" t="str">
        <f>IF(OR(K8="[Select Device]",K7="[Select Configuration]")," ",E78/3)</f>
        <v xml:space="preserve"> </v>
      </c>
      <c r="F74" s="779" t="str">
        <f>IF(OR(K8="[Select Device]",K7="[Select Configuration]")," ",E74/1000000)</f>
        <v xml:space="preserve"> </v>
      </c>
      <c r="G74" s="779"/>
      <c r="H74" s="792" t="str">
        <f>IF(OR(K8="[Select Device]",K7="[Select Configuration]")," ",F74*$G$32)</f>
        <v xml:space="preserve"> </v>
      </c>
      <c r="I74" s="793"/>
      <c r="J74" s="784" t="str">
        <f>IF(OR(K8="[Select Device]",K7="[Select Configuration]")," ",F74*H$68)</f>
        <v xml:space="preserve"> </v>
      </c>
      <c r="K74" s="784"/>
      <c r="L74" s="155" t="str">
        <f>IF(OR(K8="[Select Device]",K7="[Select Configuration]")," ",(H74/$G$32)*$K$9)</f>
        <v xml:space="preserve"> </v>
      </c>
      <c r="AF74" s="70" t="s">
        <v>324</v>
      </c>
      <c r="AG74" s="156" t="e">
        <f>ABS((AG64-AG51)/AG51)</f>
        <v>#VALUE!</v>
      </c>
      <c r="AP74" s="66">
        <v>41.2</v>
      </c>
      <c r="AQ74" s="18">
        <f>Table3[[#This Row],[R]]*10</f>
        <v>412</v>
      </c>
      <c r="AR74" s="19">
        <f>Table3[[#This Row],[R2]]*10</f>
        <v>4120</v>
      </c>
      <c r="AS74" s="19">
        <f>Table3[[#This Row],[R3]]*10</f>
        <v>41200</v>
      </c>
      <c r="AT74" s="19">
        <f>Table3[[#This Row],[R4]]*10</f>
        <v>412000</v>
      </c>
      <c r="AU74" s="20">
        <f>Table3[[#This Row],[R]]/10</f>
        <v>4.12</v>
      </c>
      <c r="AV74" s="20">
        <f>Table3[[#This Row],[R6]]/10</f>
        <v>0.41200000000000003</v>
      </c>
      <c r="AW74" s="20">
        <f>Table3[[#This Row],[R7]]/10</f>
        <v>4.1200000000000001E-2</v>
      </c>
      <c r="AX74" s="20">
        <f>Table3[[#This Row],[R8]]/10</f>
        <v>4.1200000000000004E-3</v>
      </c>
      <c r="AY74" s="20">
        <f>Table3[[#This Row],[R9]]/10</f>
        <v>4.1200000000000004E-4</v>
      </c>
    </row>
    <row r="75" spans="2:51" ht="18.75" thickBot="1">
      <c r="B75" s="157" t="s">
        <v>287</v>
      </c>
      <c r="C75" s="158"/>
      <c r="D75" s="158"/>
      <c r="E75" s="181" t="str">
        <f>IF(OR(K8="[Select Device]",K7="[Select Configuration]")," ",E79/3)</f>
        <v xml:space="preserve"> </v>
      </c>
      <c r="F75" s="780" t="str">
        <f>IF(OR(K8="[Select Device]",K7="[Select Configuration]")," ",E75/1000000)</f>
        <v xml:space="preserve"> </v>
      </c>
      <c r="G75" s="780"/>
      <c r="H75" s="794" t="str">
        <f>IF(OR(K8="[Select Device]",K7="[Select Configuration]")," ",F75*$G$32)</f>
        <v xml:space="preserve"> </v>
      </c>
      <c r="I75" s="795"/>
      <c r="J75" s="782" t="str">
        <f>IF(OR(K8="[Select Device]",K7="[Select Configuration]")," ",F75*H$68)</f>
        <v xml:space="preserve"> </v>
      </c>
      <c r="K75" s="782"/>
      <c r="L75" s="160" t="str">
        <f>IF(OR(K8="[Select Device]",K7="[Select Configuration]")," ",(H75/$G$32)*$K$9)</f>
        <v xml:space="preserve"> </v>
      </c>
      <c r="AF75" s="624" t="s">
        <v>314</v>
      </c>
      <c r="AG75" s="625"/>
      <c r="AP75" s="66">
        <v>42.2</v>
      </c>
      <c r="AQ75" s="18">
        <f>Table3[[#This Row],[R]]*10</f>
        <v>422</v>
      </c>
      <c r="AR75" s="19">
        <f>Table3[[#This Row],[R2]]*10</f>
        <v>4220</v>
      </c>
      <c r="AS75" s="19">
        <f>Table3[[#This Row],[R3]]*10</f>
        <v>42200</v>
      </c>
      <c r="AT75" s="19">
        <f>Table3[[#This Row],[R4]]*10</f>
        <v>422000</v>
      </c>
      <c r="AU75" s="20">
        <f>Table3[[#This Row],[R]]/10</f>
        <v>4.2200000000000006</v>
      </c>
      <c r="AV75" s="20">
        <f>Table3[[#This Row],[R6]]/10</f>
        <v>0.42200000000000004</v>
      </c>
      <c r="AW75" s="20">
        <f>Table3[[#This Row],[R7]]/10</f>
        <v>4.2200000000000001E-2</v>
      </c>
      <c r="AX75" s="20">
        <f>Table3[[#This Row],[R8]]/10</f>
        <v>4.2199999999999998E-3</v>
      </c>
      <c r="AY75" s="20">
        <f>Table3[[#This Row],[R9]]/10</f>
        <v>4.2199999999999996E-4</v>
      </c>
    </row>
    <row r="76" spans="2:51" ht="18.75" thickBot="1">
      <c r="B76" s="161" t="s">
        <v>288</v>
      </c>
      <c r="C76" s="162"/>
      <c r="D76" s="162"/>
      <c r="E76" s="182" t="str">
        <f>IF(OR(K8="[Select Device]",K7="[Select Configuration]")," ",E80/3)</f>
        <v xml:space="preserve"> </v>
      </c>
      <c r="F76" s="781" t="str">
        <f>IF(OR(K8="[Select Device]",K7="[Select Configuration]")," ",E76/1000000)</f>
        <v xml:space="preserve"> </v>
      </c>
      <c r="G76" s="781"/>
      <c r="H76" s="796" t="str">
        <f>IF(OR(K8="[Select Device]",K7="[Select Configuration]")," ",F76*$G$32)</f>
        <v xml:space="preserve"> </v>
      </c>
      <c r="I76" s="797"/>
      <c r="J76" s="785" t="str">
        <f>IF(OR(K8="[Select Device]",K7="[Select Configuration]")," ",F76*H$68)</f>
        <v xml:space="preserve"> </v>
      </c>
      <c r="K76" s="785"/>
      <c r="L76" s="163" t="str">
        <f>IF(OR(K8="[Select Device]",K7="[Select Configuration]")," ",(H76/$G$32)*$K$9)</f>
        <v xml:space="preserve"> </v>
      </c>
      <c r="AF76" s="45" t="s">
        <v>94</v>
      </c>
      <c r="AG76" s="48" t="e">
        <f>K9*K19/(K19+AG36)*1000</f>
        <v>#VALUE!</v>
      </c>
      <c r="AP76" s="66">
        <v>43.2</v>
      </c>
      <c r="AQ76" s="18">
        <f>Table3[[#This Row],[R]]*10</f>
        <v>432</v>
      </c>
      <c r="AR76" s="19">
        <f>Table3[[#This Row],[R2]]*10</f>
        <v>4320</v>
      </c>
      <c r="AS76" s="19">
        <f>Table3[[#This Row],[R3]]*10</f>
        <v>43200</v>
      </c>
      <c r="AT76" s="19">
        <f>Table3[[#This Row],[R4]]*10</f>
        <v>432000</v>
      </c>
      <c r="AU76" s="20">
        <f>Table3[[#This Row],[R]]/10</f>
        <v>4.32</v>
      </c>
      <c r="AV76" s="20">
        <f>Table3[[#This Row],[R6]]/10</f>
        <v>0.43200000000000005</v>
      </c>
      <c r="AW76" s="20">
        <f>Table3[[#This Row],[R7]]/10</f>
        <v>4.3200000000000002E-2</v>
      </c>
      <c r="AX76" s="20">
        <f>Table3[[#This Row],[R8]]/10</f>
        <v>4.3200000000000001E-3</v>
      </c>
      <c r="AY76" s="20">
        <f>Table3[[#This Row],[R9]]/10</f>
        <v>4.3199999999999998E-4</v>
      </c>
    </row>
    <row r="77" spans="2:51" ht="18" hidden="1" customHeight="1" thickBot="1">
      <c r="B77" s="157" t="s">
        <v>286</v>
      </c>
      <c r="C77" s="158"/>
      <c r="D77" s="158"/>
      <c r="E77" s="181">
        <f>SQRT(SUMSQ(L71,L70))</f>
        <v>0</v>
      </c>
      <c r="F77" s="183"/>
      <c r="G77" s="177">
        <f>E77/1000000</f>
        <v>0</v>
      </c>
      <c r="H77" s="184" t="e">
        <f t="shared" ref="H77" si="0">G77*$G$32</f>
        <v>#VALUE!</v>
      </c>
      <c r="I77" s="185"/>
      <c r="J77" s="165" t="e">
        <f>G77*H$68</f>
        <v>#VALUE!</v>
      </c>
      <c r="K77" s="164"/>
      <c r="L77" s="160" t="e">
        <f t="shared" ref="L77" si="1">(H77/$G$32)*$K$9</f>
        <v>#VALUE!</v>
      </c>
      <c r="AF77" s="25" t="s">
        <v>305</v>
      </c>
      <c r="AG77" s="139" t="e">
        <f>ABS((AG67-AG66)/AG66)</f>
        <v>#VALUE!</v>
      </c>
      <c r="AP77" s="66">
        <v>44.2</v>
      </c>
      <c r="AQ77" s="18">
        <f>Table3[[#This Row],[R]]*10</f>
        <v>442</v>
      </c>
      <c r="AR77" s="19">
        <f>Table3[[#This Row],[R2]]*10</f>
        <v>4420</v>
      </c>
      <c r="AS77" s="19">
        <f>Table3[[#This Row],[R3]]*10</f>
        <v>44200</v>
      </c>
      <c r="AT77" s="19">
        <f>Table3[[#This Row],[R4]]*10</f>
        <v>442000</v>
      </c>
      <c r="AU77" s="20">
        <f>Table3[[#This Row],[R]]/10</f>
        <v>4.42</v>
      </c>
      <c r="AV77" s="20">
        <f>Table3[[#This Row],[R6]]/10</f>
        <v>0.442</v>
      </c>
      <c r="AW77" s="20">
        <f>Table3[[#This Row],[R7]]/10</f>
        <v>4.4200000000000003E-2</v>
      </c>
      <c r="AX77" s="20">
        <f>Table3[[#This Row],[R8]]/10</f>
        <v>4.4200000000000003E-3</v>
      </c>
      <c r="AY77" s="20">
        <f>Table3[[#This Row],[R9]]/10</f>
        <v>4.4200000000000001E-4</v>
      </c>
    </row>
    <row r="78" spans="2:51" ht="18.75" thickBot="1">
      <c r="B78" s="157" t="s">
        <v>283</v>
      </c>
      <c r="C78" s="158"/>
      <c r="D78" s="158"/>
      <c r="E78" s="186" t="str">
        <f>IF(OR(K8="[Select Device]",K7="[Select Configuration]")," ",SQRT(SUMSQ(L66,L67,L68,L69,L70,L71,L72)))</f>
        <v xml:space="preserve"> </v>
      </c>
      <c r="F78" s="802" t="str">
        <f>IF(OR(K8="[Select Device]",K7="[Select Configuration]")," ",E78/1000000)</f>
        <v xml:space="preserve"> </v>
      </c>
      <c r="G78" s="802"/>
      <c r="H78" s="786" t="str">
        <f>IF(OR(K8="[Select Device]",K7="[Select Configuration]")," ",F78*$G$32)</f>
        <v xml:space="preserve"> </v>
      </c>
      <c r="I78" s="787"/>
      <c r="J78" s="782" t="str">
        <f>IF(OR(K8="[Select Device]",K7="[Select Configuration]")," ",F78*H$68)</f>
        <v xml:space="preserve"> </v>
      </c>
      <c r="K78" s="782"/>
      <c r="L78" s="160" t="str">
        <f>IF(OR(K8="[Select Device]",K7="[Select Configuration]")," ",(H78/$G$32)*$K$9)</f>
        <v xml:space="preserve"> </v>
      </c>
      <c r="AF78" s="25" t="s">
        <v>315</v>
      </c>
      <c r="AG78" s="48" t="e">
        <f>K9*AG45/(AG45+AG35)*1000</f>
        <v>#VALUE!</v>
      </c>
      <c r="AP78" s="74">
        <v>45.3</v>
      </c>
      <c r="AQ78" s="18">
        <f>Table3[[#This Row],[R]]*10</f>
        <v>453</v>
      </c>
      <c r="AR78" s="19">
        <f>Table3[[#This Row],[R2]]*10</f>
        <v>4530</v>
      </c>
      <c r="AS78" s="19">
        <f>Table3[[#This Row],[R3]]*10</f>
        <v>45300</v>
      </c>
      <c r="AT78" s="19">
        <f>Table3[[#This Row],[R4]]*10</f>
        <v>453000</v>
      </c>
      <c r="AU78" s="20">
        <f>Table3[[#This Row],[R]]/10</f>
        <v>4.5299999999999994</v>
      </c>
      <c r="AV78" s="20">
        <f>Table3[[#This Row],[R6]]/10</f>
        <v>0.45299999999999996</v>
      </c>
      <c r="AW78" s="20">
        <f>Table3[[#This Row],[R7]]/10</f>
        <v>4.5299999999999993E-2</v>
      </c>
      <c r="AX78" s="20">
        <f>Table3[[#This Row],[R8]]/10</f>
        <v>4.5299999999999993E-3</v>
      </c>
      <c r="AY78" s="20">
        <f>Table3[[#This Row],[R9]]/10</f>
        <v>4.5299999999999995E-4</v>
      </c>
    </row>
    <row r="79" spans="2:51" ht="18.75" thickBot="1">
      <c r="B79" s="157" t="s">
        <v>284</v>
      </c>
      <c r="C79" s="158"/>
      <c r="D79" s="158"/>
      <c r="E79" s="159" t="str">
        <f>IF(OR(K8="[Select Device]",K7="[Select Configuration]")," ",SQRT(SUMSQ(L66,L67,L69,L70,L71,L72)))</f>
        <v xml:space="preserve"> </v>
      </c>
      <c r="F79" s="780" t="str">
        <f>IF(OR(K8="[Select Device]",K7="[Select Configuration]")," ",E79/1000000)</f>
        <v xml:space="preserve"> </v>
      </c>
      <c r="G79" s="780"/>
      <c r="H79" s="788" t="str">
        <f>IF(OR(K8="[Select Device]",K7="[Select Configuration]")," ",F79*$G$32)</f>
        <v xml:space="preserve"> </v>
      </c>
      <c r="I79" s="789"/>
      <c r="J79" s="782" t="str">
        <f>IF(OR(K8="[Select Device]",K7="[Select Configuration]")," ",F79*H$68)</f>
        <v xml:space="preserve"> </v>
      </c>
      <c r="K79" s="782"/>
      <c r="L79" s="160" t="str">
        <f>IF(OR(K8="[Select Device]",K7="[Select Configuration]")," ",(H79/$G$32)*$K$9)</f>
        <v xml:space="preserve"> </v>
      </c>
      <c r="AF79" s="25" t="s">
        <v>316</v>
      </c>
      <c r="AG79" s="48" t="e">
        <f>K9*AG48/(AG48+AG39)*1000</f>
        <v>#VALUE!</v>
      </c>
      <c r="AP79" s="58">
        <v>46.4</v>
      </c>
      <c r="AQ79" s="18">
        <f>Table3[[#This Row],[R]]*10</f>
        <v>464</v>
      </c>
      <c r="AR79" s="19">
        <f>Table3[[#This Row],[R2]]*10</f>
        <v>4640</v>
      </c>
      <c r="AS79" s="19">
        <f>Table3[[#This Row],[R3]]*10</f>
        <v>46400</v>
      </c>
      <c r="AT79" s="19">
        <f>Table3[[#This Row],[R4]]*10</f>
        <v>464000</v>
      </c>
      <c r="AU79" s="20">
        <f>Table3[[#This Row],[R]]/10</f>
        <v>4.6399999999999997</v>
      </c>
      <c r="AV79" s="20">
        <f>Table3[[#This Row],[R6]]/10</f>
        <v>0.46399999999999997</v>
      </c>
      <c r="AW79" s="20">
        <f>Table3[[#This Row],[R7]]/10</f>
        <v>4.6399999999999997E-2</v>
      </c>
      <c r="AX79" s="20">
        <f>Table3[[#This Row],[R8]]/10</f>
        <v>4.64E-3</v>
      </c>
      <c r="AY79" s="20">
        <f>Table3[[#This Row],[R9]]/10</f>
        <v>4.64E-4</v>
      </c>
    </row>
    <row r="80" spans="2:51" ht="18.75" thickBot="1">
      <c r="B80" s="166" t="s">
        <v>285</v>
      </c>
      <c r="C80" s="167"/>
      <c r="D80" s="167"/>
      <c r="E80" s="168" t="str">
        <f>IF(OR(K8="[Select Device]",K7="[Select Configuration]")," ",SQRT(SUMSQ(L67,L69,L70,L71)))</f>
        <v xml:space="preserve"> </v>
      </c>
      <c r="F80" s="778" t="str">
        <f>IF(OR(K8="[Select Device]",K7="[Select Configuration]")," ",E80/1000000)</f>
        <v xml:space="preserve"> </v>
      </c>
      <c r="G80" s="778"/>
      <c r="H80" s="790" t="str">
        <f>IF(OR(K8="[Select Device]",K7="[Select Configuration]")," ",F80*$G$32)</f>
        <v xml:space="preserve"> </v>
      </c>
      <c r="I80" s="791"/>
      <c r="J80" s="783" t="str">
        <f>IF(OR(K8="[Select Device]",K7="[Select Configuration]")," ",F80*H$68)</f>
        <v xml:space="preserve"> </v>
      </c>
      <c r="K80" s="783"/>
      <c r="L80" s="169" t="str">
        <f>IF(OR(K8="[Select Device]",K7="[Select Configuration]")," ",(H80/$G$32)*$K$9)</f>
        <v xml:space="preserve"> </v>
      </c>
      <c r="AF80" s="25" t="s">
        <v>325</v>
      </c>
      <c r="AG80" s="140" t="e">
        <f>ABS((AG78-AG76)/AG76)</f>
        <v>#VALUE!</v>
      </c>
      <c r="AP80" s="66">
        <v>47.5</v>
      </c>
      <c r="AQ80" s="18">
        <f>Table3[[#This Row],[R]]*10</f>
        <v>475</v>
      </c>
      <c r="AR80" s="19">
        <f>Table3[[#This Row],[R2]]*10</f>
        <v>4750</v>
      </c>
      <c r="AS80" s="19">
        <f>Table3[[#This Row],[R3]]*10</f>
        <v>47500</v>
      </c>
      <c r="AT80" s="19">
        <f>Table3[[#This Row],[R4]]*10</f>
        <v>475000</v>
      </c>
      <c r="AU80" s="20">
        <f>Table3[[#This Row],[R]]/10</f>
        <v>4.75</v>
      </c>
      <c r="AV80" s="20">
        <f>Table3[[#This Row],[R6]]/10</f>
        <v>0.47499999999999998</v>
      </c>
      <c r="AW80" s="20">
        <f>Table3[[#This Row],[R7]]/10</f>
        <v>4.7500000000000001E-2</v>
      </c>
      <c r="AX80" s="20">
        <f>Table3[[#This Row],[R8]]/10</f>
        <v>4.7499999999999999E-3</v>
      </c>
      <c r="AY80" s="20">
        <f>Table3[[#This Row],[R9]]/10</f>
        <v>4.75E-4</v>
      </c>
    </row>
    <row r="81" spans="2:51" ht="18.75" thickBot="1">
      <c r="AF81" s="61" t="s">
        <v>326</v>
      </c>
      <c r="AG81" s="170" t="e">
        <f>ABS((AG79-AG76)/AG76)</f>
        <v>#VALUE!</v>
      </c>
      <c r="AP81" s="66">
        <v>48.7</v>
      </c>
      <c r="AQ81" s="18">
        <f>Table3[[#This Row],[R]]*10</f>
        <v>487</v>
      </c>
      <c r="AR81" s="19">
        <f>Table3[[#This Row],[R2]]*10</f>
        <v>4870</v>
      </c>
      <c r="AS81" s="19">
        <f>Table3[[#This Row],[R3]]*10</f>
        <v>48700</v>
      </c>
      <c r="AT81" s="19">
        <f>Table3[[#This Row],[R4]]*10</f>
        <v>487000</v>
      </c>
      <c r="AU81" s="20">
        <f>Table3[[#This Row],[R]]/10</f>
        <v>4.87</v>
      </c>
      <c r="AV81" s="20">
        <f>Table3[[#This Row],[R6]]/10</f>
        <v>0.48699999999999999</v>
      </c>
      <c r="AW81" s="20">
        <f>Table3[[#This Row],[R7]]/10</f>
        <v>4.87E-2</v>
      </c>
      <c r="AX81" s="20">
        <f>Table3[[#This Row],[R8]]/10</f>
        <v>4.8700000000000002E-3</v>
      </c>
      <c r="AY81" s="20">
        <f>Table3[[#This Row],[R9]]/10</f>
        <v>4.8700000000000002E-4</v>
      </c>
    </row>
    <row r="82" spans="2:51" ht="18.75" thickBot="1">
      <c r="AP82" s="66">
        <v>49.9</v>
      </c>
      <c r="AQ82" s="18">
        <f>Table3[[#This Row],[R]]*10</f>
        <v>499</v>
      </c>
      <c r="AR82" s="19">
        <f>Table3[[#This Row],[R2]]*10</f>
        <v>4990</v>
      </c>
      <c r="AS82" s="19">
        <f>Table3[[#This Row],[R3]]*10</f>
        <v>49900</v>
      </c>
      <c r="AT82" s="19">
        <f>Table3[[#This Row],[R4]]*10</f>
        <v>499000</v>
      </c>
      <c r="AU82" s="20">
        <f>Table3[[#This Row],[R]]/10</f>
        <v>4.99</v>
      </c>
      <c r="AV82" s="20">
        <f>Table3[[#This Row],[R6]]/10</f>
        <v>0.499</v>
      </c>
      <c r="AW82" s="20">
        <f>Table3[[#This Row],[R7]]/10</f>
        <v>4.99E-2</v>
      </c>
      <c r="AX82" s="20">
        <f>Table3[[#This Row],[R8]]/10</f>
        <v>4.9899999999999996E-3</v>
      </c>
      <c r="AY82" s="20">
        <f>Table3[[#This Row],[R9]]/10</f>
        <v>4.9899999999999999E-4</v>
      </c>
    </row>
    <row r="83" spans="2:51" ht="18.75" thickBot="1">
      <c r="AP83" s="66">
        <v>51.1</v>
      </c>
      <c r="AQ83" s="18">
        <f>Table3[[#This Row],[R]]*10</f>
        <v>511</v>
      </c>
      <c r="AR83" s="19">
        <f>Table3[[#This Row],[R2]]*10</f>
        <v>5110</v>
      </c>
      <c r="AS83" s="19">
        <f>Table3[[#This Row],[R3]]*10</f>
        <v>51100</v>
      </c>
      <c r="AT83" s="19">
        <f>Table3[[#This Row],[R4]]*10</f>
        <v>511000</v>
      </c>
      <c r="AU83" s="20">
        <f>Table3[[#This Row],[R]]/10</f>
        <v>5.1100000000000003</v>
      </c>
      <c r="AV83" s="20">
        <f>Table3[[#This Row],[R6]]/10</f>
        <v>0.51100000000000001</v>
      </c>
      <c r="AW83" s="20">
        <f>Table3[[#This Row],[R7]]/10</f>
        <v>5.11E-2</v>
      </c>
      <c r="AX83" s="20">
        <f>Table3[[#This Row],[R8]]/10</f>
        <v>5.11E-3</v>
      </c>
      <c r="AY83" s="20">
        <f>Table3[[#This Row],[R9]]/10</f>
        <v>5.1099999999999995E-4</v>
      </c>
    </row>
    <row r="84" spans="2:51" ht="18.75" thickBot="1">
      <c r="B84" s="127"/>
      <c r="C84" s="127"/>
      <c r="D84" s="127"/>
      <c r="E84" s="127"/>
      <c r="F84" s="127"/>
      <c r="G84" s="127"/>
      <c r="H84" s="127"/>
      <c r="I84" s="127"/>
      <c r="J84" s="127"/>
      <c r="K84" s="127"/>
      <c r="L84" s="127"/>
      <c r="AP84" s="66">
        <v>52.3</v>
      </c>
      <c r="AQ84" s="18">
        <f>Table3[[#This Row],[R]]*10</f>
        <v>523</v>
      </c>
      <c r="AR84" s="19">
        <f>Table3[[#This Row],[R2]]*10</f>
        <v>5230</v>
      </c>
      <c r="AS84" s="19">
        <f>Table3[[#This Row],[R3]]*10</f>
        <v>52300</v>
      </c>
      <c r="AT84" s="19">
        <f>Table3[[#This Row],[R4]]*10</f>
        <v>523000</v>
      </c>
      <c r="AU84" s="20">
        <f>Table3[[#This Row],[R]]/10</f>
        <v>5.2299999999999995</v>
      </c>
      <c r="AV84" s="20">
        <f>Table3[[#This Row],[R6]]/10</f>
        <v>0.52299999999999991</v>
      </c>
      <c r="AW84" s="20">
        <f>Table3[[#This Row],[R7]]/10</f>
        <v>5.2299999999999992E-2</v>
      </c>
      <c r="AX84" s="20">
        <f>Table3[[#This Row],[R8]]/10</f>
        <v>5.2299999999999994E-3</v>
      </c>
      <c r="AY84" s="20">
        <f>Table3[[#This Row],[R9]]/10</f>
        <v>5.2299999999999992E-4</v>
      </c>
    </row>
    <row r="85" spans="2:51" ht="18.75" thickBot="1">
      <c r="B85" s="127"/>
      <c r="C85" s="127"/>
      <c r="D85" s="127"/>
      <c r="E85" s="127"/>
      <c r="F85" s="127"/>
      <c r="G85" s="127"/>
      <c r="H85" s="127"/>
      <c r="I85" s="127"/>
      <c r="J85" s="127"/>
      <c r="K85" s="127"/>
      <c r="L85" s="127"/>
      <c r="AP85" s="66">
        <v>53.6</v>
      </c>
      <c r="AQ85" s="18">
        <f>Table3[[#This Row],[R]]*10</f>
        <v>536</v>
      </c>
      <c r="AR85" s="19">
        <f>Table3[[#This Row],[R2]]*10</f>
        <v>5360</v>
      </c>
      <c r="AS85" s="19">
        <f>Table3[[#This Row],[R3]]*10</f>
        <v>53600</v>
      </c>
      <c r="AT85" s="19">
        <f>Table3[[#This Row],[R4]]*10</f>
        <v>536000</v>
      </c>
      <c r="AU85" s="20">
        <f>Table3[[#This Row],[R]]/10</f>
        <v>5.36</v>
      </c>
      <c r="AV85" s="20">
        <f>Table3[[#This Row],[R6]]/10</f>
        <v>0.53600000000000003</v>
      </c>
      <c r="AW85" s="20">
        <f>Table3[[#This Row],[R7]]/10</f>
        <v>5.3600000000000002E-2</v>
      </c>
      <c r="AX85" s="20">
        <f>Table3[[#This Row],[R8]]/10</f>
        <v>5.3600000000000002E-3</v>
      </c>
      <c r="AY85" s="20">
        <f>Table3[[#This Row],[R9]]/10</f>
        <v>5.3600000000000002E-4</v>
      </c>
    </row>
    <row r="86" spans="2:51" ht="18.75" thickBot="1">
      <c r="B86" s="127"/>
      <c r="C86" s="127"/>
      <c r="D86" s="127"/>
      <c r="E86" s="171"/>
      <c r="F86" s="127"/>
      <c r="G86" s="127"/>
      <c r="H86" s="127"/>
      <c r="I86" s="127"/>
      <c r="J86" s="127"/>
      <c r="K86" s="127"/>
      <c r="L86" s="127"/>
      <c r="AP86" s="74">
        <v>54.9</v>
      </c>
      <c r="AQ86" s="18">
        <f>Table3[[#This Row],[R]]*10</f>
        <v>549</v>
      </c>
      <c r="AR86" s="19">
        <f>Table3[[#This Row],[R2]]*10</f>
        <v>5490</v>
      </c>
      <c r="AS86" s="19">
        <f>Table3[[#This Row],[R3]]*10</f>
        <v>54900</v>
      </c>
      <c r="AT86" s="19">
        <f>Table3[[#This Row],[R4]]*10</f>
        <v>549000</v>
      </c>
      <c r="AU86" s="20">
        <f>Table3[[#This Row],[R]]/10</f>
        <v>5.49</v>
      </c>
      <c r="AV86" s="20">
        <f>Table3[[#This Row],[R6]]/10</f>
        <v>0.54900000000000004</v>
      </c>
      <c r="AW86" s="20">
        <f>Table3[[#This Row],[R7]]/10</f>
        <v>5.4900000000000004E-2</v>
      </c>
      <c r="AX86" s="20">
        <f>Table3[[#This Row],[R8]]/10</f>
        <v>5.4900000000000001E-3</v>
      </c>
      <c r="AY86" s="20">
        <f>Table3[[#This Row],[R9]]/10</f>
        <v>5.4900000000000001E-4</v>
      </c>
    </row>
    <row r="87" spans="2:51" ht="18.75" thickBot="1">
      <c r="B87" s="127"/>
      <c r="C87" s="127"/>
      <c r="D87" s="127"/>
      <c r="E87" s="171"/>
      <c r="F87" s="127"/>
      <c r="G87" s="127"/>
      <c r="H87" s="127"/>
      <c r="I87" s="127"/>
      <c r="J87" s="127"/>
      <c r="K87" s="127"/>
      <c r="L87" s="127"/>
      <c r="AP87" s="58">
        <v>56.2</v>
      </c>
      <c r="AQ87" s="18">
        <f>Table3[[#This Row],[R]]*10</f>
        <v>562</v>
      </c>
      <c r="AR87" s="19">
        <f>Table3[[#This Row],[R2]]*10</f>
        <v>5620</v>
      </c>
      <c r="AS87" s="19">
        <f>Table3[[#This Row],[R3]]*10</f>
        <v>56200</v>
      </c>
      <c r="AT87" s="19">
        <f>Table3[[#This Row],[R4]]*10</f>
        <v>562000</v>
      </c>
      <c r="AU87" s="20">
        <f>Table3[[#This Row],[R]]/10</f>
        <v>5.62</v>
      </c>
      <c r="AV87" s="20">
        <f>Table3[[#This Row],[R6]]/10</f>
        <v>0.56200000000000006</v>
      </c>
      <c r="AW87" s="20">
        <f>Table3[[#This Row],[R7]]/10</f>
        <v>5.6200000000000007E-2</v>
      </c>
      <c r="AX87" s="20">
        <f>Table3[[#This Row],[R8]]/10</f>
        <v>5.6200000000000009E-3</v>
      </c>
      <c r="AY87" s="20">
        <f>Table3[[#This Row],[R9]]/10</f>
        <v>5.6200000000000011E-4</v>
      </c>
    </row>
    <row r="88" spans="2:51" ht="18.75" thickBot="1">
      <c r="B88" s="127"/>
      <c r="C88" s="127"/>
      <c r="D88" s="127"/>
      <c r="E88" s="171"/>
      <c r="F88" s="127"/>
      <c r="G88" s="127"/>
      <c r="H88" s="127"/>
      <c r="I88" s="127"/>
      <c r="J88" s="172"/>
      <c r="K88" s="127"/>
      <c r="L88" s="127"/>
      <c r="AP88" s="66">
        <v>57.6</v>
      </c>
      <c r="AQ88" s="18">
        <f>Table3[[#This Row],[R]]*10</f>
        <v>576</v>
      </c>
      <c r="AR88" s="19">
        <f>Table3[[#This Row],[R2]]*10</f>
        <v>5760</v>
      </c>
      <c r="AS88" s="19">
        <f>Table3[[#This Row],[R3]]*10</f>
        <v>57600</v>
      </c>
      <c r="AT88" s="19">
        <f>Table3[[#This Row],[R4]]*10</f>
        <v>576000</v>
      </c>
      <c r="AU88" s="20">
        <f>Table3[[#This Row],[R]]/10</f>
        <v>5.76</v>
      </c>
      <c r="AV88" s="20">
        <f>Table3[[#This Row],[R6]]/10</f>
        <v>0.57599999999999996</v>
      </c>
      <c r="AW88" s="20">
        <f>Table3[[#This Row],[R7]]/10</f>
        <v>5.7599999999999998E-2</v>
      </c>
      <c r="AX88" s="20">
        <f>Table3[[#This Row],[R8]]/10</f>
        <v>5.7599999999999995E-3</v>
      </c>
      <c r="AY88" s="20">
        <f>Table3[[#This Row],[R9]]/10</f>
        <v>5.7599999999999991E-4</v>
      </c>
    </row>
    <row r="89" spans="2:51" ht="18.75" thickBot="1">
      <c r="B89" s="127"/>
      <c r="C89" s="127"/>
      <c r="D89" s="127"/>
      <c r="E89" s="171"/>
      <c r="F89" s="127"/>
      <c r="G89" s="127"/>
      <c r="H89" s="127"/>
      <c r="I89" s="127"/>
      <c r="J89" s="172"/>
      <c r="K89" s="127"/>
      <c r="L89" s="127"/>
      <c r="AP89" s="66">
        <v>59</v>
      </c>
      <c r="AQ89" s="18">
        <f>Table3[[#This Row],[R]]*10</f>
        <v>590</v>
      </c>
      <c r="AR89" s="19">
        <f>Table3[[#This Row],[R2]]*10</f>
        <v>5900</v>
      </c>
      <c r="AS89" s="19">
        <f>Table3[[#This Row],[R3]]*10</f>
        <v>59000</v>
      </c>
      <c r="AT89" s="19">
        <f>Table3[[#This Row],[R4]]*10</f>
        <v>590000</v>
      </c>
      <c r="AU89" s="20">
        <f>Table3[[#This Row],[R]]/10</f>
        <v>5.9</v>
      </c>
      <c r="AV89" s="20">
        <f>Table3[[#This Row],[R6]]/10</f>
        <v>0.59000000000000008</v>
      </c>
      <c r="AW89" s="20">
        <f>Table3[[#This Row],[R7]]/10</f>
        <v>5.9000000000000011E-2</v>
      </c>
      <c r="AX89" s="20">
        <f>Table3[[#This Row],[R8]]/10</f>
        <v>5.9000000000000007E-3</v>
      </c>
      <c r="AY89" s="20">
        <f>Table3[[#This Row],[R9]]/10</f>
        <v>5.9000000000000003E-4</v>
      </c>
    </row>
    <row r="90" spans="2:51" ht="18.75" thickBot="1">
      <c r="B90" s="127"/>
      <c r="C90" s="127"/>
      <c r="D90" s="127"/>
      <c r="E90" s="171"/>
      <c r="F90" s="127"/>
      <c r="G90" s="127"/>
      <c r="H90" s="127"/>
      <c r="I90" s="173"/>
      <c r="J90" s="171"/>
      <c r="K90" s="127"/>
      <c r="L90" s="127"/>
      <c r="AP90" s="66">
        <v>60.4</v>
      </c>
      <c r="AQ90" s="18">
        <f>Table3[[#This Row],[R]]*10</f>
        <v>604</v>
      </c>
      <c r="AR90" s="19">
        <f>Table3[[#This Row],[R2]]*10</f>
        <v>6040</v>
      </c>
      <c r="AS90" s="19">
        <f>Table3[[#This Row],[R3]]*10</f>
        <v>60400</v>
      </c>
      <c r="AT90" s="19">
        <f>Table3[[#This Row],[R4]]*10</f>
        <v>604000</v>
      </c>
      <c r="AU90" s="20">
        <f>Table3[[#This Row],[R]]/10</f>
        <v>6.04</v>
      </c>
      <c r="AV90" s="20">
        <f>Table3[[#This Row],[R6]]/10</f>
        <v>0.60399999999999998</v>
      </c>
      <c r="AW90" s="20">
        <f>Table3[[#This Row],[R7]]/10</f>
        <v>6.0399999999999995E-2</v>
      </c>
      <c r="AX90" s="20">
        <f>Table3[[#This Row],[R8]]/10</f>
        <v>6.0399999999999994E-3</v>
      </c>
      <c r="AY90" s="20">
        <f>Table3[[#This Row],[R9]]/10</f>
        <v>6.0399999999999994E-4</v>
      </c>
    </row>
    <row r="91" spans="2:51" ht="18.75" thickBot="1">
      <c r="B91" s="127"/>
      <c r="C91" s="127"/>
      <c r="D91" s="127"/>
      <c r="E91" s="127"/>
      <c r="F91" s="127"/>
      <c r="G91" s="127"/>
      <c r="H91" s="127"/>
      <c r="I91" s="127"/>
      <c r="J91" s="127"/>
      <c r="K91" s="127"/>
      <c r="L91" s="127"/>
      <c r="AP91" s="66">
        <v>61.9</v>
      </c>
      <c r="AQ91" s="18">
        <f>Table3[[#This Row],[R]]*10</f>
        <v>619</v>
      </c>
      <c r="AR91" s="19">
        <f>Table3[[#This Row],[R2]]*10</f>
        <v>6190</v>
      </c>
      <c r="AS91" s="19">
        <f>Table3[[#This Row],[R3]]*10</f>
        <v>61900</v>
      </c>
      <c r="AT91" s="19">
        <f>Table3[[#This Row],[R4]]*10</f>
        <v>619000</v>
      </c>
      <c r="AU91" s="20">
        <f>Table3[[#This Row],[R]]/10</f>
        <v>6.1899999999999995</v>
      </c>
      <c r="AV91" s="20">
        <f>Table3[[#This Row],[R6]]/10</f>
        <v>0.61899999999999999</v>
      </c>
      <c r="AW91" s="20">
        <f>Table3[[#This Row],[R7]]/10</f>
        <v>6.1899999999999997E-2</v>
      </c>
      <c r="AX91" s="20">
        <f>Table3[[#This Row],[R8]]/10</f>
        <v>6.1899999999999993E-3</v>
      </c>
      <c r="AY91" s="20">
        <f>Table3[[#This Row],[R9]]/10</f>
        <v>6.1899999999999998E-4</v>
      </c>
    </row>
    <row r="92" spans="2:51" ht="18.75" thickBot="1">
      <c r="B92" s="127"/>
      <c r="C92" s="127"/>
      <c r="D92" s="127"/>
      <c r="E92" s="127"/>
      <c r="F92" s="127"/>
      <c r="G92" s="127"/>
      <c r="H92" s="127"/>
      <c r="I92" s="127"/>
      <c r="J92" s="127"/>
      <c r="K92" s="127"/>
      <c r="L92" s="127"/>
      <c r="AP92" s="66">
        <v>63.4</v>
      </c>
      <c r="AQ92" s="18">
        <f>Table3[[#This Row],[R]]*10</f>
        <v>634</v>
      </c>
      <c r="AR92" s="19">
        <f>Table3[[#This Row],[R2]]*10</f>
        <v>6340</v>
      </c>
      <c r="AS92" s="19">
        <f>Table3[[#This Row],[R3]]*10</f>
        <v>63400</v>
      </c>
      <c r="AT92" s="19">
        <f>Table3[[#This Row],[R4]]*10</f>
        <v>634000</v>
      </c>
      <c r="AU92" s="20">
        <f>Table3[[#This Row],[R]]/10</f>
        <v>6.34</v>
      </c>
      <c r="AV92" s="20">
        <f>Table3[[#This Row],[R6]]/10</f>
        <v>0.63400000000000001</v>
      </c>
      <c r="AW92" s="20">
        <f>Table3[[#This Row],[R7]]/10</f>
        <v>6.3399999999999998E-2</v>
      </c>
      <c r="AX92" s="20">
        <f>Table3[[#This Row],[R8]]/10</f>
        <v>6.3400000000000001E-3</v>
      </c>
      <c r="AY92" s="20">
        <f>Table3[[#This Row],[R9]]/10</f>
        <v>6.3400000000000001E-4</v>
      </c>
    </row>
    <row r="93" spans="2:51" ht="18.75" thickBot="1">
      <c r="B93" s="127"/>
      <c r="C93" s="127"/>
      <c r="D93" s="127"/>
      <c r="E93" s="127"/>
      <c r="F93" s="127"/>
      <c r="G93" s="127"/>
      <c r="H93" s="127"/>
      <c r="I93" s="127"/>
      <c r="J93" s="127"/>
      <c r="K93" s="127"/>
      <c r="L93" s="127"/>
      <c r="AP93" s="66">
        <v>64.900000000000006</v>
      </c>
      <c r="AQ93" s="18">
        <f>Table3[[#This Row],[R]]*10</f>
        <v>649</v>
      </c>
      <c r="AR93" s="19">
        <f>Table3[[#This Row],[R2]]*10</f>
        <v>6490</v>
      </c>
      <c r="AS93" s="19">
        <f>Table3[[#This Row],[R3]]*10</f>
        <v>64900</v>
      </c>
      <c r="AT93" s="19">
        <f>Table3[[#This Row],[R4]]*10</f>
        <v>649000</v>
      </c>
      <c r="AU93" s="20">
        <f>Table3[[#This Row],[R]]/10</f>
        <v>6.49</v>
      </c>
      <c r="AV93" s="20">
        <f>Table3[[#This Row],[R6]]/10</f>
        <v>0.64900000000000002</v>
      </c>
      <c r="AW93" s="20">
        <f>Table3[[#This Row],[R7]]/10</f>
        <v>6.4899999999999999E-2</v>
      </c>
      <c r="AX93" s="20">
        <f>Table3[[#This Row],[R8]]/10</f>
        <v>6.4900000000000001E-3</v>
      </c>
      <c r="AY93" s="20">
        <f>Table3[[#This Row],[R9]]/10</f>
        <v>6.4900000000000005E-4</v>
      </c>
    </row>
    <row r="94" spans="2:51" ht="18.75" thickBot="1">
      <c r="B94" s="127"/>
      <c r="C94" s="127"/>
      <c r="D94" s="127"/>
      <c r="E94" s="127"/>
      <c r="F94" s="127"/>
      <c r="G94" s="127"/>
      <c r="H94" s="127"/>
      <c r="I94" s="127"/>
      <c r="J94" s="127"/>
      <c r="K94" s="127"/>
      <c r="L94" s="127"/>
      <c r="AP94" s="74">
        <v>66.5</v>
      </c>
      <c r="AQ94" s="18">
        <f>Table3[[#This Row],[R]]*10</f>
        <v>665</v>
      </c>
      <c r="AR94" s="19">
        <f>Table3[[#This Row],[R2]]*10</f>
        <v>6650</v>
      </c>
      <c r="AS94" s="19">
        <f>Table3[[#This Row],[R3]]*10</f>
        <v>66500</v>
      </c>
      <c r="AT94" s="19">
        <f>Table3[[#This Row],[R4]]*10</f>
        <v>665000</v>
      </c>
      <c r="AU94" s="20">
        <f>Table3[[#This Row],[R]]/10</f>
        <v>6.65</v>
      </c>
      <c r="AV94" s="20">
        <f>Table3[[#This Row],[R6]]/10</f>
        <v>0.66500000000000004</v>
      </c>
      <c r="AW94" s="20">
        <f>Table3[[#This Row],[R7]]/10</f>
        <v>6.6500000000000004E-2</v>
      </c>
      <c r="AX94" s="20">
        <f>Table3[[#This Row],[R8]]/10</f>
        <v>6.6500000000000005E-3</v>
      </c>
      <c r="AY94" s="20">
        <f>Table3[[#This Row],[R9]]/10</f>
        <v>6.6500000000000001E-4</v>
      </c>
    </row>
    <row r="95" spans="2:51" ht="18.75" thickBot="1">
      <c r="B95" s="127"/>
      <c r="C95" s="127"/>
      <c r="D95" s="127"/>
      <c r="E95" s="127"/>
      <c r="F95" s="127"/>
      <c r="G95" s="127"/>
      <c r="H95" s="127"/>
      <c r="I95" s="127"/>
      <c r="J95" s="127"/>
      <c r="K95" s="127"/>
      <c r="L95" s="127"/>
      <c r="AP95" s="58">
        <v>68.099999999999994</v>
      </c>
      <c r="AQ95" s="18">
        <f>Table3[[#This Row],[R]]*10</f>
        <v>681</v>
      </c>
      <c r="AR95" s="19">
        <f>Table3[[#This Row],[R2]]*10</f>
        <v>6810</v>
      </c>
      <c r="AS95" s="19">
        <f>Table3[[#This Row],[R3]]*10</f>
        <v>68100</v>
      </c>
      <c r="AT95" s="19">
        <f>Table3[[#This Row],[R4]]*10</f>
        <v>681000</v>
      </c>
      <c r="AU95" s="20">
        <f>Table3[[#This Row],[R]]/10</f>
        <v>6.81</v>
      </c>
      <c r="AV95" s="20">
        <f>Table3[[#This Row],[R6]]/10</f>
        <v>0.68099999999999994</v>
      </c>
      <c r="AW95" s="20">
        <f>Table3[[#This Row],[R7]]/10</f>
        <v>6.8099999999999994E-2</v>
      </c>
      <c r="AX95" s="20">
        <f>Table3[[#This Row],[R8]]/10</f>
        <v>6.8099999999999992E-3</v>
      </c>
      <c r="AY95" s="20">
        <f>Table3[[#This Row],[R9]]/10</f>
        <v>6.8099999999999996E-4</v>
      </c>
    </row>
    <row r="96" spans="2:51" ht="18.75" thickBot="1">
      <c r="B96" s="127"/>
      <c r="C96" s="127"/>
      <c r="D96" s="127"/>
      <c r="E96" s="127"/>
      <c r="F96" s="127"/>
      <c r="G96" s="127"/>
      <c r="H96" s="127"/>
      <c r="I96" s="127"/>
      <c r="J96" s="127"/>
      <c r="K96" s="127"/>
      <c r="L96" s="127"/>
      <c r="AP96" s="66">
        <v>69.8</v>
      </c>
      <c r="AQ96" s="18">
        <f>Table3[[#This Row],[R]]*10</f>
        <v>698</v>
      </c>
      <c r="AR96" s="19">
        <f>Table3[[#This Row],[R2]]*10</f>
        <v>6980</v>
      </c>
      <c r="AS96" s="19">
        <f>Table3[[#This Row],[R3]]*10</f>
        <v>69800</v>
      </c>
      <c r="AT96" s="19">
        <f>Table3[[#This Row],[R4]]*10</f>
        <v>698000</v>
      </c>
      <c r="AU96" s="20">
        <f>Table3[[#This Row],[R]]/10</f>
        <v>6.9799999999999995</v>
      </c>
      <c r="AV96" s="20">
        <f>Table3[[#This Row],[R6]]/10</f>
        <v>0.69799999999999995</v>
      </c>
      <c r="AW96" s="20">
        <f>Table3[[#This Row],[R7]]/10</f>
        <v>6.9800000000000001E-2</v>
      </c>
      <c r="AX96" s="20">
        <f>Table3[[#This Row],[R8]]/10</f>
        <v>6.9800000000000001E-3</v>
      </c>
      <c r="AY96" s="20">
        <f>Table3[[#This Row],[R9]]/10</f>
        <v>6.9800000000000005E-4</v>
      </c>
    </row>
    <row r="97" spans="2:51" ht="18.75" thickBot="1">
      <c r="B97" s="127"/>
      <c r="C97" s="127"/>
      <c r="D97" s="127"/>
      <c r="E97" s="127"/>
      <c r="F97" s="127"/>
      <c r="G97" s="127"/>
      <c r="H97" s="127"/>
      <c r="I97" s="127"/>
      <c r="J97" s="127"/>
      <c r="K97" s="127"/>
      <c r="L97" s="127"/>
      <c r="AP97" s="66">
        <v>71.5</v>
      </c>
      <c r="AQ97" s="18">
        <f>Table3[[#This Row],[R]]*10</f>
        <v>715</v>
      </c>
      <c r="AR97" s="19">
        <f>Table3[[#This Row],[R2]]*10</f>
        <v>7150</v>
      </c>
      <c r="AS97" s="19">
        <f>Table3[[#This Row],[R3]]*10</f>
        <v>71500</v>
      </c>
      <c r="AT97" s="19">
        <f>Table3[[#This Row],[R4]]*10</f>
        <v>715000</v>
      </c>
      <c r="AU97" s="20">
        <f>Table3[[#This Row],[R]]/10</f>
        <v>7.15</v>
      </c>
      <c r="AV97" s="20">
        <f>Table3[[#This Row],[R6]]/10</f>
        <v>0.71500000000000008</v>
      </c>
      <c r="AW97" s="20">
        <f>Table3[[#This Row],[R7]]/10</f>
        <v>7.1500000000000008E-2</v>
      </c>
      <c r="AX97" s="20">
        <f>Table3[[#This Row],[R8]]/10</f>
        <v>7.150000000000001E-3</v>
      </c>
      <c r="AY97" s="20">
        <f>Table3[[#This Row],[R9]]/10</f>
        <v>7.1500000000000014E-4</v>
      </c>
    </row>
    <row r="98" spans="2:51" ht="18.75" thickBot="1">
      <c r="B98" s="127"/>
      <c r="C98" s="127"/>
      <c r="D98" s="127"/>
      <c r="E98" s="127"/>
      <c r="F98" s="127"/>
      <c r="G98" s="127"/>
      <c r="H98" s="127"/>
      <c r="I98" s="127"/>
      <c r="J98" s="127"/>
      <c r="K98" s="127"/>
      <c r="L98" s="127"/>
      <c r="AP98" s="66">
        <v>73.2</v>
      </c>
      <c r="AQ98" s="18">
        <f>Table3[[#This Row],[R]]*10</f>
        <v>732</v>
      </c>
      <c r="AR98" s="19">
        <f>Table3[[#This Row],[R2]]*10</f>
        <v>7320</v>
      </c>
      <c r="AS98" s="19">
        <f>Table3[[#This Row],[R3]]*10</f>
        <v>73200</v>
      </c>
      <c r="AT98" s="19">
        <f>Table3[[#This Row],[R4]]*10</f>
        <v>732000</v>
      </c>
      <c r="AU98" s="20">
        <f>Table3[[#This Row],[R]]/10</f>
        <v>7.32</v>
      </c>
      <c r="AV98" s="20">
        <f>Table3[[#This Row],[R6]]/10</f>
        <v>0.73199999999999998</v>
      </c>
      <c r="AW98" s="20">
        <f>Table3[[#This Row],[R7]]/10</f>
        <v>7.3200000000000001E-2</v>
      </c>
      <c r="AX98" s="20">
        <f>Table3[[#This Row],[R8]]/10</f>
        <v>7.3200000000000001E-3</v>
      </c>
      <c r="AY98" s="20">
        <f>Table3[[#This Row],[R9]]/10</f>
        <v>7.3200000000000001E-4</v>
      </c>
    </row>
    <row r="99" spans="2:51" ht="18.75" thickBot="1">
      <c r="AP99" s="66">
        <v>75</v>
      </c>
      <c r="AQ99" s="18">
        <f>Table3[[#This Row],[R]]*10</f>
        <v>750</v>
      </c>
      <c r="AR99" s="19">
        <f>Table3[[#This Row],[R2]]*10</f>
        <v>7500</v>
      </c>
      <c r="AS99" s="19">
        <f>Table3[[#This Row],[R3]]*10</f>
        <v>75000</v>
      </c>
      <c r="AT99" s="19">
        <f>Table3[[#This Row],[R4]]*10</f>
        <v>750000</v>
      </c>
      <c r="AU99" s="20">
        <f>Table3[[#This Row],[R]]/10</f>
        <v>7.5</v>
      </c>
      <c r="AV99" s="20">
        <f>Table3[[#This Row],[R6]]/10</f>
        <v>0.75</v>
      </c>
      <c r="AW99" s="20">
        <f>Table3[[#This Row],[R7]]/10</f>
        <v>7.4999999999999997E-2</v>
      </c>
      <c r="AX99" s="20">
        <f>Table3[[#This Row],[R8]]/10</f>
        <v>7.4999999999999997E-3</v>
      </c>
      <c r="AY99" s="20">
        <f>Table3[[#This Row],[R9]]/10</f>
        <v>7.5000000000000002E-4</v>
      </c>
    </row>
    <row r="100" spans="2:51" ht="18.75" thickBot="1">
      <c r="AP100" s="66">
        <v>76.8</v>
      </c>
      <c r="AQ100" s="18">
        <f>Table3[[#This Row],[R]]*10</f>
        <v>768</v>
      </c>
      <c r="AR100" s="19">
        <f>Table3[[#This Row],[R2]]*10</f>
        <v>7680</v>
      </c>
      <c r="AS100" s="19">
        <f>Table3[[#This Row],[R3]]*10</f>
        <v>76800</v>
      </c>
      <c r="AT100" s="19">
        <f>Table3[[#This Row],[R4]]*10</f>
        <v>768000</v>
      </c>
      <c r="AU100" s="20">
        <f>Table3[[#This Row],[R]]/10</f>
        <v>7.68</v>
      </c>
      <c r="AV100" s="20">
        <f>Table3[[#This Row],[R6]]/10</f>
        <v>0.76800000000000002</v>
      </c>
      <c r="AW100" s="20">
        <f>Table3[[#This Row],[R7]]/10</f>
        <v>7.6800000000000007E-2</v>
      </c>
      <c r="AX100" s="20">
        <f>Table3[[#This Row],[R8]]/10</f>
        <v>7.6800000000000011E-3</v>
      </c>
      <c r="AY100" s="20">
        <f>Table3[[#This Row],[R9]]/10</f>
        <v>7.6800000000000013E-4</v>
      </c>
    </row>
    <row r="101" spans="2:51" ht="18.75" thickBot="1">
      <c r="AP101" s="66">
        <v>78.7</v>
      </c>
      <c r="AQ101" s="18">
        <f>Table3[[#This Row],[R]]*10</f>
        <v>787</v>
      </c>
      <c r="AR101" s="19">
        <f>Table3[[#This Row],[R2]]*10</f>
        <v>7870</v>
      </c>
      <c r="AS101" s="19">
        <f>Table3[[#This Row],[R3]]*10</f>
        <v>78700</v>
      </c>
      <c r="AT101" s="19">
        <f>Table3[[#This Row],[R4]]*10</f>
        <v>787000</v>
      </c>
      <c r="AU101" s="20">
        <f>Table3[[#This Row],[R]]/10</f>
        <v>7.87</v>
      </c>
      <c r="AV101" s="20">
        <f>Table3[[#This Row],[R6]]/10</f>
        <v>0.78700000000000003</v>
      </c>
      <c r="AW101" s="20">
        <f>Table3[[#This Row],[R7]]/10</f>
        <v>7.8700000000000006E-2</v>
      </c>
      <c r="AX101" s="20">
        <f>Table3[[#This Row],[R8]]/10</f>
        <v>7.8700000000000003E-3</v>
      </c>
      <c r="AY101" s="20">
        <f>Table3[[#This Row],[R9]]/10</f>
        <v>7.8700000000000005E-4</v>
      </c>
    </row>
    <row r="102" spans="2:51" ht="18.75" thickBot="1">
      <c r="AP102" s="74">
        <v>80.599999999999994</v>
      </c>
      <c r="AQ102" s="18">
        <f>Table3[[#This Row],[R]]*10</f>
        <v>806</v>
      </c>
      <c r="AR102" s="19">
        <f>Table3[[#This Row],[R2]]*10</f>
        <v>8060</v>
      </c>
      <c r="AS102" s="19">
        <f>Table3[[#This Row],[R3]]*10</f>
        <v>80600</v>
      </c>
      <c r="AT102" s="19">
        <f>Table3[[#This Row],[R4]]*10</f>
        <v>806000</v>
      </c>
      <c r="AU102" s="20">
        <f>Table3[[#This Row],[R]]/10</f>
        <v>8.0599999999999987</v>
      </c>
      <c r="AV102" s="20">
        <f>Table3[[#This Row],[R6]]/10</f>
        <v>0.80599999999999983</v>
      </c>
      <c r="AW102" s="20">
        <f>Table3[[#This Row],[R7]]/10</f>
        <v>8.0599999999999977E-2</v>
      </c>
      <c r="AX102" s="20">
        <f>Table3[[#This Row],[R8]]/10</f>
        <v>8.0599999999999977E-3</v>
      </c>
      <c r="AY102" s="20">
        <f>Table3[[#This Row],[R9]]/10</f>
        <v>8.0599999999999975E-4</v>
      </c>
    </row>
    <row r="103" spans="2:51" ht="18.75" thickBot="1">
      <c r="AP103" s="174">
        <v>82.5</v>
      </c>
      <c r="AQ103" s="18">
        <f>Table3[[#This Row],[R]]*10</f>
        <v>825</v>
      </c>
      <c r="AR103" s="19">
        <f>Table3[[#This Row],[R2]]*10</f>
        <v>8250</v>
      </c>
      <c r="AS103" s="19">
        <f>Table3[[#This Row],[R3]]*10</f>
        <v>82500</v>
      </c>
      <c r="AT103" s="19">
        <f>Table3[[#This Row],[R4]]*10</f>
        <v>825000</v>
      </c>
      <c r="AU103" s="20">
        <f>Table3[[#This Row],[R]]/10</f>
        <v>8.25</v>
      </c>
      <c r="AV103" s="20">
        <f>Table3[[#This Row],[R6]]/10</f>
        <v>0.82499999999999996</v>
      </c>
      <c r="AW103" s="20">
        <f>Table3[[#This Row],[R7]]/10</f>
        <v>8.249999999999999E-2</v>
      </c>
      <c r="AX103" s="20">
        <f>Table3[[#This Row],[R8]]/10</f>
        <v>8.2499999999999987E-3</v>
      </c>
      <c r="AY103" s="20">
        <f>Table3[[#This Row],[R9]]/10</f>
        <v>8.2499999999999989E-4</v>
      </c>
    </row>
    <row r="104" spans="2:51" ht="18.75" thickBot="1">
      <c r="AP104" s="175">
        <v>84.5</v>
      </c>
      <c r="AQ104" s="18">
        <f>Table3[[#This Row],[R]]*10</f>
        <v>845</v>
      </c>
      <c r="AR104" s="19">
        <f>Table3[[#This Row],[R2]]*10</f>
        <v>8450</v>
      </c>
      <c r="AS104" s="19">
        <f>Table3[[#This Row],[R3]]*10</f>
        <v>84500</v>
      </c>
      <c r="AT104" s="19">
        <f>Table3[[#This Row],[R4]]*10</f>
        <v>845000</v>
      </c>
      <c r="AU104" s="20">
        <f>Table3[[#This Row],[R]]/10</f>
        <v>8.4499999999999993</v>
      </c>
      <c r="AV104" s="20">
        <f>Table3[[#This Row],[R6]]/10</f>
        <v>0.84499999999999997</v>
      </c>
      <c r="AW104" s="20">
        <f>Table3[[#This Row],[R7]]/10</f>
        <v>8.4499999999999992E-2</v>
      </c>
      <c r="AX104" s="20">
        <f>Table3[[#This Row],[R8]]/10</f>
        <v>8.4499999999999992E-3</v>
      </c>
      <c r="AY104" s="20">
        <f>Table3[[#This Row],[R9]]/10</f>
        <v>8.4499999999999994E-4</v>
      </c>
    </row>
    <row r="105" spans="2:51" ht="18.75" thickBot="1">
      <c r="AP105" s="175">
        <v>86.6</v>
      </c>
      <c r="AQ105" s="18">
        <f>Table3[[#This Row],[R]]*10</f>
        <v>866</v>
      </c>
      <c r="AR105" s="19">
        <f>Table3[[#This Row],[R2]]*10</f>
        <v>8660</v>
      </c>
      <c r="AS105" s="19">
        <f>Table3[[#This Row],[R3]]*10</f>
        <v>86600</v>
      </c>
      <c r="AT105" s="19">
        <f>Table3[[#This Row],[R4]]*10</f>
        <v>866000</v>
      </c>
      <c r="AU105" s="20">
        <f>Table3[[#This Row],[R]]/10</f>
        <v>8.66</v>
      </c>
      <c r="AV105" s="20">
        <f>Table3[[#This Row],[R6]]/10</f>
        <v>0.86599999999999999</v>
      </c>
      <c r="AW105" s="20">
        <f>Table3[[#This Row],[R7]]/10</f>
        <v>8.6599999999999996E-2</v>
      </c>
      <c r="AX105" s="20">
        <f>Table3[[#This Row],[R8]]/10</f>
        <v>8.6599999999999993E-3</v>
      </c>
      <c r="AY105" s="20">
        <f>Table3[[#This Row],[R9]]/10</f>
        <v>8.6599999999999991E-4</v>
      </c>
    </row>
    <row r="106" spans="2:51" ht="18.75" thickBot="1">
      <c r="AP106" s="175">
        <v>88.7</v>
      </c>
      <c r="AQ106" s="18">
        <f>Table3[[#This Row],[R]]*10</f>
        <v>887</v>
      </c>
      <c r="AR106" s="19">
        <f>Table3[[#This Row],[R2]]*10</f>
        <v>8870</v>
      </c>
      <c r="AS106" s="19">
        <f>Table3[[#This Row],[R3]]*10</f>
        <v>88700</v>
      </c>
      <c r="AT106" s="19">
        <f>Table3[[#This Row],[R4]]*10</f>
        <v>887000</v>
      </c>
      <c r="AU106" s="20">
        <f>Table3[[#This Row],[R]]/10</f>
        <v>8.870000000000001</v>
      </c>
      <c r="AV106" s="20">
        <f>Table3[[#This Row],[R6]]/10</f>
        <v>0.88700000000000012</v>
      </c>
      <c r="AW106" s="20">
        <f>Table3[[#This Row],[R7]]/10</f>
        <v>8.8700000000000015E-2</v>
      </c>
      <c r="AX106" s="20">
        <f>Table3[[#This Row],[R8]]/10</f>
        <v>8.8700000000000011E-3</v>
      </c>
      <c r="AY106" s="20">
        <f>Table3[[#This Row],[R9]]/10</f>
        <v>8.8700000000000009E-4</v>
      </c>
    </row>
    <row r="107" spans="2:51" ht="18.75" thickBot="1">
      <c r="AP107" s="175">
        <v>90.9</v>
      </c>
      <c r="AQ107" s="18">
        <f>Table3[[#This Row],[R]]*10</f>
        <v>909</v>
      </c>
      <c r="AR107" s="19">
        <f>Table3[[#This Row],[R2]]*10</f>
        <v>9090</v>
      </c>
      <c r="AS107" s="19">
        <f>Table3[[#This Row],[R3]]*10</f>
        <v>90900</v>
      </c>
      <c r="AT107" s="19">
        <f>Table3[[#This Row],[R4]]*10</f>
        <v>909000</v>
      </c>
      <c r="AU107" s="20">
        <f>Table3[[#This Row],[R]]/10</f>
        <v>9.09</v>
      </c>
      <c r="AV107" s="20">
        <f>Table3[[#This Row],[R6]]/10</f>
        <v>0.90900000000000003</v>
      </c>
      <c r="AW107" s="20">
        <f>Table3[[#This Row],[R7]]/10</f>
        <v>9.0900000000000009E-2</v>
      </c>
      <c r="AX107" s="20">
        <f>Table3[[#This Row],[R8]]/10</f>
        <v>9.0900000000000009E-3</v>
      </c>
      <c r="AY107" s="20">
        <f>Table3[[#This Row],[R9]]/10</f>
        <v>9.0900000000000009E-4</v>
      </c>
    </row>
    <row r="108" spans="2:51" ht="18.75" thickBot="1">
      <c r="AP108" s="175">
        <v>93.1</v>
      </c>
      <c r="AQ108" s="18">
        <f>Table3[[#This Row],[R]]*10</f>
        <v>931</v>
      </c>
      <c r="AR108" s="19">
        <f>Table3[[#This Row],[R2]]*10</f>
        <v>9310</v>
      </c>
      <c r="AS108" s="19">
        <f>Table3[[#This Row],[R3]]*10</f>
        <v>93100</v>
      </c>
      <c r="AT108" s="19">
        <f>Table3[[#This Row],[R4]]*10</f>
        <v>931000</v>
      </c>
      <c r="AU108" s="20">
        <f>Table3[[#This Row],[R]]/10</f>
        <v>9.3099999999999987</v>
      </c>
      <c r="AV108" s="20">
        <f>Table3[[#This Row],[R6]]/10</f>
        <v>0.93099999999999983</v>
      </c>
      <c r="AW108" s="20">
        <f>Table3[[#This Row],[R7]]/10</f>
        <v>9.3099999999999988E-2</v>
      </c>
      <c r="AX108" s="20">
        <f>Table3[[#This Row],[R8]]/10</f>
        <v>9.3099999999999988E-3</v>
      </c>
      <c r="AY108" s="20">
        <f>Table3[[#This Row],[R9]]/10</f>
        <v>9.3099999999999986E-4</v>
      </c>
    </row>
    <row r="109" spans="2:51" ht="18.75" thickBot="1">
      <c r="AP109" s="175">
        <v>95.3</v>
      </c>
      <c r="AQ109" s="18">
        <f>Table3[[#This Row],[R]]*10</f>
        <v>953</v>
      </c>
      <c r="AR109" s="19">
        <f>Table3[[#This Row],[R2]]*10</f>
        <v>9530</v>
      </c>
      <c r="AS109" s="19">
        <f>Table3[[#This Row],[R3]]*10</f>
        <v>95300</v>
      </c>
      <c r="AT109" s="19">
        <f>Table3[[#This Row],[R4]]*10</f>
        <v>953000</v>
      </c>
      <c r="AU109" s="20">
        <f>Table3[[#This Row],[R]]/10</f>
        <v>9.5299999999999994</v>
      </c>
      <c r="AV109" s="20">
        <f>Table3[[#This Row],[R6]]/10</f>
        <v>0.95299999999999996</v>
      </c>
      <c r="AW109" s="20">
        <f>Table3[[#This Row],[R7]]/10</f>
        <v>9.5299999999999996E-2</v>
      </c>
      <c r="AX109" s="20">
        <f>Table3[[#This Row],[R8]]/10</f>
        <v>9.5300000000000003E-3</v>
      </c>
      <c r="AY109" s="20">
        <f>Table3[[#This Row],[R9]]/10</f>
        <v>9.5300000000000007E-4</v>
      </c>
    </row>
    <row r="110" spans="2:51" ht="18.75" thickBot="1">
      <c r="AP110" s="176">
        <v>97.6</v>
      </c>
      <c r="AQ110" s="18">
        <f>Table3[[#This Row],[R]]*10</f>
        <v>976</v>
      </c>
      <c r="AR110" s="19">
        <f>Table3[[#This Row],[R2]]*10</f>
        <v>9760</v>
      </c>
      <c r="AS110" s="19">
        <f>Table3[[#This Row],[R3]]*10</f>
        <v>97600</v>
      </c>
      <c r="AT110" s="19">
        <f>Table3[[#This Row],[R4]]*10</f>
        <v>976000</v>
      </c>
      <c r="AU110" s="20">
        <f>Table3[[#This Row],[R]]/10</f>
        <v>9.76</v>
      </c>
      <c r="AV110" s="20">
        <f>Table3[[#This Row],[R6]]/10</f>
        <v>0.97599999999999998</v>
      </c>
      <c r="AW110" s="20">
        <f>Table3[[#This Row],[R7]]/10</f>
        <v>9.7599999999999992E-2</v>
      </c>
      <c r="AX110" s="20">
        <f>Table3[[#This Row],[R8]]/10</f>
        <v>9.7599999999999996E-3</v>
      </c>
      <c r="AY110" s="20">
        <f>Table3[[#This Row],[R9]]/10</f>
        <v>9.7599999999999998E-4</v>
      </c>
    </row>
  </sheetData>
  <sheetProtection algorithmName="SHA-512" hashValue="1FY0sPJwvp/HrBbIQL0WK9uT+NHd67BcueSgtlJLS9trw204Xyq3StJuWB4YfQe8eZMPTYEOomMwFfIoyI2pZw==" saltValue="0zuvDxlPToM9rooIaDmVhg==" spinCount="100000" sheet="1" selectLockedCells="1"/>
  <protectedRanges>
    <protectedRange sqref="L59:L60" name="Range1_1"/>
  </protectedRanges>
  <mergeCells count="233">
    <mergeCell ref="F78:G78"/>
    <mergeCell ref="F79:G79"/>
    <mergeCell ref="G47:H47"/>
    <mergeCell ref="G48:H48"/>
    <mergeCell ref="G49:H49"/>
    <mergeCell ref="F67:G67"/>
    <mergeCell ref="J67:K67"/>
    <mergeCell ref="E45:F45"/>
    <mergeCell ref="G45:H45"/>
    <mergeCell ref="F68:G68"/>
    <mergeCell ref="J53:K53"/>
    <mergeCell ref="E47:F47"/>
    <mergeCell ref="E48:F48"/>
    <mergeCell ref="J57:K57"/>
    <mergeCell ref="J52:L52"/>
    <mergeCell ref="K47:L47"/>
    <mergeCell ref="K48:L48"/>
    <mergeCell ref="J54:K54"/>
    <mergeCell ref="J55:K55"/>
    <mergeCell ref="F66:G66"/>
    <mergeCell ref="J66:K66"/>
    <mergeCell ref="J65:L65"/>
    <mergeCell ref="J50:L51"/>
    <mergeCell ref="F80:G80"/>
    <mergeCell ref="F74:G74"/>
    <mergeCell ref="F75:G75"/>
    <mergeCell ref="F76:G76"/>
    <mergeCell ref="H69:I69"/>
    <mergeCell ref="J78:K78"/>
    <mergeCell ref="J79:K79"/>
    <mergeCell ref="J80:K80"/>
    <mergeCell ref="J74:K74"/>
    <mergeCell ref="J75:K75"/>
    <mergeCell ref="J76:K76"/>
    <mergeCell ref="H78:I78"/>
    <mergeCell ref="H79:I79"/>
    <mergeCell ref="H80:I80"/>
    <mergeCell ref="H74:I74"/>
    <mergeCell ref="H75:I75"/>
    <mergeCell ref="H76:I76"/>
    <mergeCell ref="J71:K71"/>
    <mergeCell ref="J72:K72"/>
    <mergeCell ref="F69:G69"/>
    <mergeCell ref="F70:G70"/>
    <mergeCell ref="F71:G71"/>
    <mergeCell ref="F72:G72"/>
    <mergeCell ref="H71:I71"/>
    <mergeCell ref="N13:O13"/>
    <mergeCell ref="F73:G73"/>
    <mergeCell ref="H73:I73"/>
    <mergeCell ref="J73:K73"/>
    <mergeCell ref="G27:J27"/>
    <mergeCell ref="K33:L33"/>
    <mergeCell ref="K34:L34"/>
    <mergeCell ref="K35:L35"/>
    <mergeCell ref="K36:L36"/>
    <mergeCell ref="K31:L31"/>
    <mergeCell ref="G31:H31"/>
    <mergeCell ref="G32:H32"/>
    <mergeCell ref="I31:J31"/>
    <mergeCell ref="I32:J32"/>
    <mergeCell ref="K27:L27"/>
    <mergeCell ref="I33:J33"/>
    <mergeCell ref="I34:J34"/>
    <mergeCell ref="I35:J35"/>
    <mergeCell ref="I36:J36"/>
    <mergeCell ref="B30:L30"/>
    <mergeCell ref="K32:L32"/>
    <mergeCell ref="H72:I72"/>
    <mergeCell ref="B37:D37"/>
    <mergeCell ref="I45:J45"/>
    <mergeCell ref="B38:D38"/>
    <mergeCell ref="G33:H33"/>
    <mergeCell ref="G34:H34"/>
    <mergeCell ref="G35:H35"/>
    <mergeCell ref="G36:H36"/>
    <mergeCell ref="B34:D34"/>
    <mergeCell ref="B35:D35"/>
    <mergeCell ref="B36:D36"/>
    <mergeCell ref="G26:J26"/>
    <mergeCell ref="B31:D32"/>
    <mergeCell ref="E31:F32"/>
    <mergeCell ref="B33:D33"/>
    <mergeCell ref="I37:J37"/>
    <mergeCell ref="I38:J38"/>
    <mergeCell ref="E33:F33"/>
    <mergeCell ref="E34:F34"/>
    <mergeCell ref="E35:F35"/>
    <mergeCell ref="E36:F36"/>
    <mergeCell ref="E37:F37"/>
    <mergeCell ref="E38:F38"/>
    <mergeCell ref="G37:H37"/>
    <mergeCell ref="G38:H38"/>
    <mergeCell ref="G21:J21"/>
    <mergeCell ref="G22:J22"/>
    <mergeCell ref="G23:J23"/>
    <mergeCell ref="G24:J24"/>
    <mergeCell ref="G25:J25"/>
    <mergeCell ref="K25:L25"/>
    <mergeCell ref="K26:L26"/>
    <mergeCell ref="K21:L21"/>
    <mergeCell ref="K22:L22"/>
    <mergeCell ref="K23:L23"/>
    <mergeCell ref="K24:L24"/>
    <mergeCell ref="G16:J16"/>
    <mergeCell ref="G17:J17"/>
    <mergeCell ref="G18:J18"/>
    <mergeCell ref="G19:J19"/>
    <mergeCell ref="K20:L20"/>
    <mergeCell ref="G7:J7"/>
    <mergeCell ref="G8:J8"/>
    <mergeCell ref="G9:J9"/>
    <mergeCell ref="G10:J10"/>
    <mergeCell ref="G11:J11"/>
    <mergeCell ref="G12:J12"/>
    <mergeCell ref="G13:J13"/>
    <mergeCell ref="G14:J14"/>
    <mergeCell ref="G15:J15"/>
    <mergeCell ref="G20:J20"/>
    <mergeCell ref="AI36:AJ36"/>
    <mergeCell ref="AI41:AJ41"/>
    <mergeCell ref="AF20:AG20"/>
    <mergeCell ref="AF26:AG26"/>
    <mergeCell ref="AI25:AJ25"/>
    <mergeCell ref="AI30:AJ30"/>
    <mergeCell ref="AC29:AD29"/>
    <mergeCell ref="AC30:AD30"/>
    <mergeCell ref="N37:S37"/>
    <mergeCell ref="N38:S38"/>
    <mergeCell ref="N39:S39"/>
    <mergeCell ref="AF34:AG34"/>
    <mergeCell ref="N35:S35"/>
    <mergeCell ref="N34:S34"/>
    <mergeCell ref="N36:S36"/>
    <mergeCell ref="N40:S40"/>
    <mergeCell ref="N41:S41"/>
    <mergeCell ref="N19:Q20"/>
    <mergeCell ref="N21:Q21"/>
    <mergeCell ref="N22:Q22"/>
    <mergeCell ref="N23:Q23"/>
    <mergeCell ref="U4:AO4"/>
    <mergeCell ref="AF8:AG8"/>
    <mergeCell ref="AI8:AL8"/>
    <mergeCell ref="AI9:AJ9"/>
    <mergeCell ref="AN8:AO8"/>
    <mergeCell ref="AC8:AD8"/>
    <mergeCell ref="AC17:AD17"/>
    <mergeCell ref="AC20:AD20"/>
    <mergeCell ref="AK9:AL9"/>
    <mergeCell ref="K37:L37"/>
    <mergeCell ref="K38:L38"/>
    <mergeCell ref="K39:L39"/>
    <mergeCell ref="K40:L40"/>
    <mergeCell ref="K41:L41"/>
    <mergeCell ref="A1:K3"/>
    <mergeCell ref="A4:T4"/>
    <mergeCell ref="B6:D24"/>
    <mergeCell ref="N6:O6"/>
    <mergeCell ref="N5:O5"/>
    <mergeCell ref="G6:L6"/>
    <mergeCell ref="K7:L7"/>
    <mergeCell ref="K8:L8"/>
    <mergeCell ref="K9:L9"/>
    <mergeCell ref="K15:L15"/>
    <mergeCell ref="K16:L16"/>
    <mergeCell ref="K17:L17"/>
    <mergeCell ref="K18:L18"/>
    <mergeCell ref="K19:L19"/>
    <mergeCell ref="K10:L10"/>
    <mergeCell ref="K11:L11"/>
    <mergeCell ref="K12:L12"/>
    <mergeCell ref="K13:L13"/>
    <mergeCell ref="K14:L14"/>
    <mergeCell ref="B64:C64"/>
    <mergeCell ref="D64:E64"/>
    <mergeCell ref="F64:I64"/>
    <mergeCell ref="J64:L64"/>
    <mergeCell ref="B39:D39"/>
    <mergeCell ref="B40:D40"/>
    <mergeCell ref="B41:D41"/>
    <mergeCell ref="B42:D42"/>
    <mergeCell ref="N42:S42"/>
    <mergeCell ref="N43:S43"/>
    <mergeCell ref="B43:D43"/>
    <mergeCell ref="K45:L45"/>
    <mergeCell ref="K46:L46"/>
    <mergeCell ref="E46:F46"/>
    <mergeCell ref="E39:F39"/>
    <mergeCell ref="E40:F40"/>
    <mergeCell ref="E41:F41"/>
    <mergeCell ref="E42:F42"/>
    <mergeCell ref="E43:F43"/>
    <mergeCell ref="G39:H39"/>
    <mergeCell ref="G40:H40"/>
    <mergeCell ref="G41:H41"/>
    <mergeCell ref="I46:J46"/>
    <mergeCell ref="I39:J39"/>
    <mergeCell ref="I40:J40"/>
    <mergeCell ref="I41:J41"/>
    <mergeCell ref="I42:J42"/>
    <mergeCell ref="J56:K56"/>
    <mergeCell ref="E49:F49"/>
    <mergeCell ref="G46:H46"/>
    <mergeCell ref="K49:L49"/>
    <mergeCell ref="G42:H42"/>
    <mergeCell ref="G43:H43"/>
    <mergeCell ref="I47:J47"/>
    <mergeCell ref="I48:J48"/>
    <mergeCell ref="I49:J49"/>
    <mergeCell ref="N52:O52"/>
    <mergeCell ref="AF65:AG65"/>
    <mergeCell ref="AF75:AG75"/>
    <mergeCell ref="AF41:AG41"/>
    <mergeCell ref="AF38:AG38"/>
    <mergeCell ref="AF46:AG46"/>
    <mergeCell ref="AF49:AG49"/>
    <mergeCell ref="I43:J43"/>
    <mergeCell ref="H66:I66"/>
    <mergeCell ref="H67:I67"/>
    <mergeCell ref="H68:I68"/>
    <mergeCell ref="K42:L42"/>
    <mergeCell ref="K43:L43"/>
    <mergeCell ref="H70:I70"/>
    <mergeCell ref="J58:K58"/>
    <mergeCell ref="J68:K68"/>
    <mergeCell ref="J69:K69"/>
    <mergeCell ref="J70:K70"/>
    <mergeCell ref="N46:S46"/>
    <mergeCell ref="N47:S47"/>
    <mergeCell ref="B62:L63"/>
    <mergeCell ref="D65:E65"/>
    <mergeCell ref="B65:C65"/>
    <mergeCell ref="F65:I65"/>
  </mergeCells>
  <phoneticPr fontId="21"/>
  <conditionalFormatting sqref="C44:D44 E40:E43 G40:G43 G46:G50 K46:K49 E46:E50 I46:I50">
    <cfRule type="containsBlanks" dxfId="90" priority="45">
      <formula>LEN(TRIM(C40))=0</formula>
    </cfRule>
  </conditionalFormatting>
  <conditionalFormatting sqref="E34:E39">
    <cfRule type="containsBlanks" dxfId="89" priority="52">
      <formula>LEN(TRIM(E34))=0</formula>
    </cfRule>
  </conditionalFormatting>
  <conditionalFormatting sqref="E34">
    <cfRule type="beginsWith" dxfId="88" priority="42" operator="beginsWith" text=" Please">
      <formula>LEFT(E34,LEN(" Please"))=" Please"</formula>
    </cfRule>
  </conditionalFormatting>
  <conditionalFormatting sqref="G34">
    <cfRule type="containsBlanks" dxfId="87" priority="34">
      <formula>LEN(TRIM(G34))=0</formula>
    </cfRule>
    <cfRule type="beginsWith" dxfId="86" priority="41" operator="beginsWith" text="e in">
      <formula>LEFT(G34,LEN("e in"))="e in"</formula>
    </cfRule>
  </conditionalFormatting>
  <conditionalFormatting sqref="G32">
    <cfRule type="containsBlanks" dxfId="85" priority="39">
      <formula>LEN(TRIM(G32))=0</formula>
    </cfRule>
  </conditionalFormatting>
  <conditionalFormatting sqref="I32 K31:K32">
    <cfRule type="containsText" dxfId="84" priority="37" operator="containsText" text="Please">
      <formula>NOT(ISERROR(SEARCH("Please",I31)))</formula>
    </cfRule>
  </conditionalFormatting>
  <conditionalFormatting sqref="G35:G39">
    <cfRule type="containsBlanks" dxfId="83" priority="36">
      <formula>LEN(TRIM(G35))=0</formula>
    </cfRule>
  </conditionalFormatting>
  <conditionalFormatting sqref="G42">
    <cfRule type="containsBlanks" dxfId="82" priority="29">
      <formula>LEN(TRIM(G42))=0</formula>
    </cfRule>
  </conditionalFormatting>
  <conditionalFormatting sqref="I31">
    <cfRule type="containsText" dxfId="81" priority="25" operator="containsText" text="Please">
      <formula>NOT(ISERROR(SEARCH("Please",I31)))</formula>
    </cfRule>
  </conditionalFormatting>
  <conditionalFormatting sqref="E41">
    <cfRule type="containsBlanks" dxfId="80" priority="22">
      <formula>LEN(TRIM(E41))=0</formula>
    </cfRule>
  </conditionalFormatting>
  <conditionalFormatting sqref="E31">
    <cfRule type="containsBlanks" dxfId="79" priority="21">
      <formula>LEN(TRIM(E31))=0</formula>
    </cfRule>
  </conditionalFormatting>
  <conditionalFormatting sqref="E31">
    <cfRule type="containsBlanks" dxfId="78" priority="20">
      <formula>LEN(TRIM(E31))=0</formula>
    </cfRule>
  </conditionalFormatting>
  <conditionalFormatting sqref="E67">
    <cfRule type="containsBlanks" dxfId="77" priority="13">
      <formula>LEN(TRIM(E67))=0</formula>
    </cfRule>
  </conditionalFormatting>
  <conditionalFormatting sqref="L55">
    <cfRule type="containsBlanks" dxfId="76" priority="19">
      <formula>LEN(TRIM(L55))=0</formula>
    </cfRule>
  </conditionalFormatting>
  <conditionalFormatting sqref="L56">
    <cfRule type="containsBlanks" dxfId="75" priority="17">
      <formula>LEN(TRIM(L56))=0</formula>
    </cfRule>
  </conditionalFormatting>
  <conditionalFormatting sqref="L57">
    <cfRule type="containsBlanks" dxfId="74" priority="16">
      <formula>LEN(TRIM(L57))=0</formula>
    </cfRule>
  </conditionalFormatting>
  <conditionalFormatting sqref="L53">
    <cfRule type="containsBlanks" dxfId="73" priority="15">
      <formula>LEN(TRIM(L53))=0</formula>
    </cfRule>
  </conditionalFormatting>
  <conditionalFormatting sqref="E66">
    <cfRule type="containsBlanks" dxfId="72" priority="14">
      <formula>LEN(TRIM(E66))=0</formula>
    </cfRule>
  </conditionalFormatting>
  <conditionalFormatting sqref="E68">
    <cfRule type="containsBlanks" dxfId="71" priority="11">
      <formula>LEN(TRIM(E68))=0</formula>
    </cfRule>
  </conditionalFormatting>
  <conditionalFormatting sqref="E69">
    <cfRule type="containsBlanks" dxfId="70" priority="10">
      <formula>LEN(TRIM(E69))=0</formula>
    </cfRule>
  </conditionalFormatting>
  <conditionalFormatting sqref="G32">
    <cfRule type="cellIs" dxfId="69" priority="53" operator="between">
      <formula>$E$31</formula>
      <formula>$AC$30</formula>
    </cfRule>
    <cfRule type="cellIs" dxfId="68" priority="54" stopIfTrue="1" operator="between">
      <formula>0</formula>
      <formula>$E$31</formula>
    </cfRule>
    <cfRule type="cellIs" dxfId="67" priority="55" operator="greaterThan">
      <formula>$AC$30</formula>
    </cfRule>
  </conditionalFormatting>
  <conditionalFormatting sqref="N19:Q20">
    <cfRule type="notContainsBlanks" dxfId="66" priority="9">
      <formula>LEN(TRIM(N19))&gt;0</formula>
    </cfRule>
  </conditionalFormatting>
  <conditionalFormatting sqref="N21">
    <cfRule type="notContainsBlanks" dxfId="65" priority="59">
      <formula>LEN(TRIM(N21))&gt;0</formula>
    </cfRule>
  </conditionalFormatting>
  <conditionalFormatting sqref="N22">
    <cfRule type="notContainsBlanks" dxfId="64" priority="57">
      <formula>LEN(TRIM(N22))&gt;0</formula>
    </cfRule>
  </conditionalFormatting>
  <conditionalFormatting sqref="N23">
    <cfRule type="notContainsBlanks" dxfId="63" priority="58">
      <formula>LEN(TRIM(N23))&gt;0</formula>
    </cfRule>
  </conditionalFormatting>
  <conditionalFormatting sqref="L58">
    <cfRule type="containsBlanks" dxfId="62" priority="5">
      <formula>LEN(TRIM(L58))=0</formula>
    </cfRule>
  </conditionalFormatting>
  <conditionalFormatting sqref="L54">
    <cfRule type="containsBlanks" dxfId="61" priority="4">
      <formula>LEN(TRIM(L54))=0</formula>
    </cfRule>
  </conditionalFormatting>
  <conditionalFormatting sqref="L53:L54">
    <cfRule type="cellIs" dxfId="60" priority="3" operator="greaterThan">
      <formula>-1</formula>
    </cfRule>
  </conditionalFormatting>
  <conditionalFormatting sqref="J50:L51">
    <cfRule type="containsText" dxfId="59" priority="2" operator="containsText" text="This">
      <formula>NOT(ISERROR(SEARCH("This",J50)))</formula>
    </cfRule>
  </conditionalFormatting>
  <dataValidations count="1">
    <dataValidation type="list" allowBlank="1" sqref="K7" xr:uid="{00000000-0002-0000-0200-000000000000}">
      <formula1>Configs</formula1>
    </dataValidation>
  </dataValidations>
  <hyperlinks>
    <hyperlink ref="N5" location="'Table of Contents'!B17" display="Table of Contents" xr:uid="{00000000-0004-0000-0200-000000000000}"/>
  </hyperlinks>
  <pageMargins left="0.7" right="0.7" top="0.75" bottom="0.75" header="0.3" footer="0.3"/>
  <pageSetup orientation="portrait" r:id="rId1"/>
  <drawing r:id="rId2"/>
  <legacy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6DD10C39-24F5-4862-A156-3A7EC5034D6F}">
            <xm:f>NOT(ISERROR(SEARCH("=",J55)))</xm:f>
            <xm:f>"="</xm:f>
            <x14:dxf>
              <font>
                <color rgb="FF9C0006"/>
              </font>
            </x14:dxf>
          </x14:cfRule>
          <xm:sqref>J55:K60</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showErrorMessage="1" error="This device does not support the selected configuration. Please select another device." xr:uid="{384E3FBA-DE7D-45B6-B544-F0F71B3B50E7}">
          <x14:formula1>
            <xm:f>IF($K$7="Single-Ended", 'Device Comparison'!$AG$8:$AG$22, IF(OR($K$7="Differential without R3'", $K$7="Differential with R3'"), 'Device Comparison'!$AF$8:$AF$25, 'Device Comparison'!$AH$7))</xm:f>
          </x14:formula1>
          <xm:sqref>K8:L8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CC251"/>
  <sheetViews>
    <sheetView showGridLines="0" showRowColHeaders="0" topLeftCell="A2" zoomScaleNormal="100" workbookViewId="0">
      <pane xSplit="1" topLeftCell="B1" activePane="topRight" state="frozen"/>
      <selection pane="topRight" activeCell="E22" sqref="E22"/>
    </sheetView>
  </sheetViews>
  <sheetFormatPr defaultColWidth="8.7109375" defaultRowHeight="15"/>
  <cols>
    <col min="1" max="1" width="23.85546875" style="187" customWidth="1"/>
    <col min="2" max="2" width="12.7109375" style="187" bestFit="1" customWidth="1"/>
    <col min="3" max="3" width="12.7109375" style="470" customWidth="1"/>
    <col min="4" max="4" width="13.5703125" style="187" bestFit="1" customWidth="1"/>
    <col min="5" max="5" width="14.28515625" style="187" customWidth="1"/>
    <col min="6" max="6" width="13.28515625" style="187" bestFit="1" customWidth="1"/>
    <col min="7" max="7" width="14" style="187" bestFit="1" customWidth="1"/>
    <col min="8" max="8" width="15" style="187" bestFit="1" customWidth="1"/>
    <col min="9" max="9" width="15.7109375" style="187" customWidth="1"/>
    <col min="10" max="10" width="14.7109375" style="187" bestFit="1" customWidth="1"/>
    <col min="11" max="11" width="15.42578125" style="187" bestFit="1" customWidth="1"/>
    <col min="12" max="12" width="7.42578125" style="187" bestFit="1" customWidth="1"/>
    <col min="13" max="13" width="8.140625" style="187" bestFit="1" customWidth="1"/>
    <col min="14" max="14" width="11.85546875" style="187" bestFit="1" customWidth="1"/>
    <col min="15" max="15" width="12.5703125" style="187" bestFit="1" customWidth="1"/>
    <col min="16" max="16" width="20.140625" style="187" bestFit="1" customWidth="1"/>
    <col min="17" max="17" width="20.140625" style="470" customWidth="1"/>
    <col min="18" max="18" width="10" style="187" bestFit="1" customWidth="1"/>
    <col min="19" max="19" width="10.28515625" style="187" bestFit="1" customWidth="1"/>
    <col min="20" max="20" width="17.5703125" style="187" hidden="1" customWidth="1"/>
    <col min="21" max="21" width="28.28515625" style="187" hidden="1" customWidth="1"/>
    <col min="22" max="22" width="26.85546875" style="187" hidden="1" customWidth="1"/>
    <col min="23" max="23" width="12.42578125" style="187" hidden="1" customWidth="1"/>
    <col min="24" max="24" width="11.7109375" style="187" hidden="1" customWidth="1"/>
    <col min="25" max="25" width="9.5703125" style="187" hidden="1" customWidth="1"/>
    <col min="26" max="26" width="9.7109375" style="187" hidden="1" customWidth="1"/>
    <col min="27" max="27" width="10.42578125" style="187" hidden="1" customWidth="1"/>
    <col min="28" max="28" width="9.85546875" style="187" hidden="1" customWidth="1"/>
    <col min="29" max="29" width="5.42578125" style="187" hidden="1" customWidth="1"/>
    <col min="30" max="30" width="6.140625" style="187" hidden="1" customWidth="1"/>
    <col min="31" max="31" width="5.5703125" style="187" hidden="1" customWidth="1"/>
    <col min="32" max="34" width="14.42578125" style="187" hidden="1" customWidth="1"/>
    <col min="35" max="37" width="9.140625" style="187" customWidth="1"/>
    <col min="38" max="38" width="12.7109375" style="187" customWidth="1"/>
    <col min="39" max="39" width="9.140625" style="187" customWidth="1"/>
    <col min="40" max="78" width="8.7109375" style="187"/>
    <col min="79" max="79" width="22.140625" style="187" bestFit="1" customWidth="1"/>
    <col min="80" max="80" width="107.5703125" style="187" customWidth="1"/>
    <col min="81" max="16384" width="8.7109375" style="187"/>
  </cols>
  <sheetData>
    <row r="1" spans="1:50" ht="15" customHeight="1">
      <c r="A1" s="822"/>
      <c r="B1" s="822"/>
      <c r="C1" s="822"/>
      <c r="D1" s="822"/>
      <c r="E1" s="822"/>
      <c r="F1" s="822"/>
      <c r="G1" s="822"/>
      <c r="H1" s="822"/>
      <c r="I1" s="822"/>
      <c r="J1" s="822"/>
      <c r="K1" s="822"/>
      <c r="L1" s="822"/>
      <c r="M1" s="822"/>
    </row>
    <row r="2" spans="1:50" ht="15" customHeight="1">
      <c r="A2" s="822"/>
      <c r="B2" s="822"/>
      <c r="C2" s="822"/>
      <c r="D2" s="822"/>
      <c r="E2" s="822"/>
      <c r="F2" s="822"/>
      <c r="G2" s="822"/>
      <c r="H2" s="822"/>
      <c r="I2" s="822"/>
      <c r="J2" s="822"/>
      <c r="K2" s="822"/>
      <c r="L2" s="822"/>
      <c r="M2" s="822"/>
    </row>
    <row r="3" spans="1:50" ht="15" customHeight="1">
      <c r="A3" s="822"/>
      <c r="B3" s="822"/>
      <c r="C3" s="822"/>
      <c r="D3" s="822"/>
      <c r="E3" s="822"/>
      <c r="F3" s="822"/>
      <c r="G3" s="822"/>
      <c r="H3" s="822"/>
      <c r="I3" s="822"/>
      <c r="J3" s="822"/>
      <c r="K3" s="822"/>
      <c r="L3" s="822"/>
      <c r="M3" s="822"/>
    </row>
    <row r="4" spans="1:50" ht="15" customHeight="1">
      <c r="A4" s="550"/>
      <c r="B4" s="550"/>
      <c r="C4" s="550"/>
      <c r="D4" s="550"/>
      <c r="E4" s="550"/>
      <c r="F4" s="550"/>
      <c r="G4" s="550"/>
      <c r="H4" s="550"/>
      <c r="I4" s="550"/>
      <c r="J4" s="550"/>
      <c r="K4" s="550"/>
      <c r="L4" s="550"/>
      <c r="M4" s="550"/>
      <c r="N4" s="550"/>
      <c r="O4" s="550"/>
      <c r="P4" s="550"/>
      <c r="Q4" s="550"/>
      <c r="R4" s="550"/>
      <c r="S4" s="550"/>
      <c r="T4" s="550"/>
      <c r="U4" s="550"/>
      <c r="V4" s="550"/>
      <c r="W4" s="550"/>
      <c r="X4" s="550"/>
      <c r="Y4" s="550"/>
      <c r="Z4" s="550"/>
      <c r="AA4" s="550"/>
      <c r="AB4" s="550"/>
      <c r="AC4" s="550"/>
      <c r="AD4" s="550"/>
      <c r="AE4" s="550"/>
      <c r="AF4" s="550"/>
      <c r="AG4" s="550"/>
      <c r="AH4" s="550"/>
      <c r="AI4" s="550"/>
      <c r="AJ4" s="550"/>
      <c r="AK4" s="550"/>
      <c r="AL4" s="550"/>
      <c r="AM4" s="550"/>
      <c r="AN4" s="550"/>
      <c r="AO4" s="550"/>
      <c r="AP4" s="550"/>
      <c r="AQ4" s="550"/>
      <c r="AR4" s="550"/>
      <c r="AS4" s="550"/>
      <c r="AT4" s="550"/>
      <c r="AU4" s="550"/>
      <c r="AV4" s="550"/>
      <c r="AW4" s="550"/>
      <c r="AX4" s="550"/>
    </row>
    <row r="5" spans="1:50" ht="15" customHeight="1">
      <c r="B5" s="330" t="s">
        <v>214</v>
      </c>
      <c r="C5" s="330"/>
      <c r="D5" s="330"/>
      <c r="E5" s="330"/>
      <c r="F5" s="330"/>
      <c r="G5" s="330"/>
      <c r="H5" s="330"/>
      <c r="I5" s="330"/>
      <c r="J5" s="331"/>
      <c r="K5" s="331"/>
      <c r="L5" s="332"/>
      <c r="M5" s="331"/>
      <c r="P5" s="329" t="s">
        <v>8</v>
      </c>
      <c r="Q5" s="469"/>
      <c r="R5" s="329"/>
      <c r="S5" s="329"/>
    </row>
    <row r="6" spans="1:50" ht="15" customHeight="1">
      <c r="A6" s="333" t="s">
        <v>17</v>
      </c>
      <c r="B6" s="334" t="s">
        <v>50</v>
      </c>
      <c r="C6" s="334" t="s">
        <v>486</v>
      </c>
      <c r="D6" s="334" t="s">
        <v>22</v>
      </c>
      <c r="E6" s="334" t="s">
        <v>21</v>
      </c>
      <c r="F6" s="334" t="s">
        <v>25</v>
      </c>
      <c r="G6" s="334" t="s">
        <v>26</v>
      </c>
      <c r="H6" s="334" t="s">
        <v>27</v>
      </c>
      <c r="I6" s="334" t="s">
        <v>30</v>
      </c>
      <c r="J6" s="335" t="s">
        <v>31</v>
      </c>
      <c r="K6" s="335" t="s">
        <v>28</v>
      </c>
      <c r="L6" s="335" t="s">
        <v>29</v>
      </c>
      <c r="M6" s="335" t="s">
        <v>32</v>
      </c>
      <c r="N6" s="335" t="s">
        <v>33</v>
      </c>
      <c r="O6" s="335" t="s">
        <v>34</v>
      </c>
      <c r="P6" s="335" t="s">
        <v>37</v>
      </c>
      <c r="Q6" s="334" t="s">
        <v>487</v>
      </c>
      <c r="R6" s="334" t="s">
        <v>84</v>
      </c>
      <c r="S6" s="334" t="s">
        <v>85</v>
      </c>
      <c r="T6" s="335" t="s">
        <v>19</v>
      </c>
      <c r="U6" s="335" t="s">
        <v>35</v>
      </c>
      <c r="V6" s="334" t="s">
        <v>108</v>
      </c>
      <c r="W6" s="334" t="s">
        <v>110</v>
      </c>
      <c r="X6" s="336" t="s">
        <v>36</v>
      </c>
      <c r="Y6" s="337" t="s">
        <v>62</v>
      </c>
      <c r="Z6" s="337" t="s">
        <v>63</v>
      </c>
      <c r="AA6" s="337" t="s">
        <v>64</v>
      </c>
      <c r="AB6" s="337" t="s">
        <v>71</v>
      </c>
      <c r="AC6" s="337" t="s">
        <v>65</v>
      </c>
      <c r="AD6" s="337" t="s">
        <v>66</v>
      </c>
      <c r="AE6" s="337" t="s">
        <v>70</v>
      </c>
      <c r="AF6" s="337" t="s">
        <v>67</v>
      </c>
      <c r="AG6" s="337" t="s">
        <v>68</v>
      </c>
      <c r="AH6" s="337" t="s">
        <v>69</v>
      </c>
    </row>
    <row r="7" spans="1:50" ht="15" hidden="1" customHeight="1">
      <c r="A7" s="338" t="s">
        <v>60</v>
      </c>
      <c r="B7" s="339">
        <v>0</v>
      </c>
      <c r="C7" s="472"/>
      <c r="D7" s="340">
        <v>0</v>
      </c>
      <c r="E7" s="340">
        <v>0</v>
      </c>
      <c r="F7" s="340">
        <v>0</v>
      </c>
      <c r="G7" s="340">
        <v>0</v>
      </c>
      <c r="H7" s="340">
        <v>0</v>
      </c>
      <c r="I7" s="340">
        <v>0</v>
      </c>
      <c r="J7" s="340">
        <v>0</v>
      </c>
      <c r="K7" s="340">
        <v>0</v>
      </c>
      <c r="L7" s="340">
        <v>0</v>
      </c>
      <c r="M7" s="340">
        <v>0</v>
      </c>
      <c r="N7" s="340">
        <v>0</v>
      </c>
      <c r="O7" s="340">
        <v>0</v>
      </c>
      <c r="P7" s="340">
        <v>0</v>
      </c>
      <c r="Q7" s="472"/>
      <c r="R7" s="341">
        <v>-100</v>
      </c>
      <c r="S7" s="341">
        <v>150</v>
      </c>
      <c r="T7" s="340" t="s">
        <v>140</v>
      </c>
      <c r="U7" s="342">
        <v>0</v>
      </c>
      <c r="V7" s="343">
        <v>0</v>
      </c>
      <c r="W7" s="343">
        <v>0</v>
      </c>
      <c r="X7" s="344">
        <v>0</v>
      </c>
      <c r="Y7" s="345">
        <f t="shared" ref="Y7:Y79" si="0">ROW()-6</f>
        <v>1</v>
      </c>
      <c r="Z7" s="345">
        <f>IF(OR($AL$75=Devices[[#This Row],[Input Type]], 0=Devices[[#This Row],[Input Type]]),Devices[[#This Row],[Row Num]], " ")</f>
        <v>1</v>
      </c>
      <c r="AA7" s="345">
        <f>IF(OR($AL$76=Devices[[#This Row],[Input Type]], 0=Devices[[#This Row],[Input Type]]),Devices[[#This Row],[Row Num]], " ")</f>
        <v>1</v>
      </c>
      <c r="AB7" s="345">
        <f>IF(0=Devices[[#This Row],[Input Type]], Devices[[#This Row],[Row Num]], " ")</f>
        <v>1</v>
      </c>
      <c r="AC7" s="346">
        <f>IFERROR(SMALL(Devices[Row Sel D], Devices[[#This Row],[Row Num]]), " ")</f>
        <v>1</v>
      </c>
      <c r="AD7" s="346">
        <f>IFERROR(SMALL(Devices[Row Sel SE], Devices[[#This Row],[Row Num]]), " ")</f>
        <v>1</v>
      </c>
      <c r="AE7" s="346">
        <f>IFERROR(SMALL(Devices[Row Sel N], Devices[[#This Row],[Row Num]]), " ")</f>
        <v>1</v>
      </c>
      <c r="AF7" s="346" t="str">
        <f>IFERROR(INDEX(Devices[Part], Devices[[#This Row],[Sel D]], 1), "")</f>
        <v>[Select Device]</v>
      </c>
      <c r="AG7" s="346" t="str">
        <f>IFERROR(INDEX(Devices[Part], Devices[[#This Row],[Sel SE]], 1), "")</f>
        <v>[Select Device]</v>
      </c>
      <c r="AH7" s="346" t="str">
        <f>IFERROR(INDEX(Devices[Part], Devices[[#This Row],[Sel N]], 1), "")</f>
        <v>[Select Device]</v>
      </c>
      <c r="AJ7" s="347"/>
    </row>
    <row r="8" spans="1:50" s="470" customFormat="1" ht="15" customHeight="1">
      <c r="A8" s="387" t="s">
        <v>488</v>
      </c>
      <c r="B8" s="349" t="s">
        <v>52</v>
      </c>
      <c r="C8" s="481" t="s">
        <v>51</v>
      </c>
      <c r="D8" s="473">
        <v>5.0000000000000001E-4</v>
      </c>
      <c r="E8" s="473">
        <v>2.5000000000000001E-3</v>
      </c>
      <c r="F8" s="474">
        <v>5</v>
      </c>
      <c r="G8" s="474">
        <v>40</v>
      </c>
      <c r="H8" s="475">
        <v>0.2</v>
      </c>
      <c r="I8" s="475">
        <v>1</v>
      </c>
      <c r="J8" s="476">
        <v>3</v>
      </c>
      <c r="K8" s="476">
        <v>10</v>
      </c>
      <c r="L8" s="488">
        <v>2.0000000000000002E-5</v>
      </c>
      <c r="M8" s="473">
        <v>2.0000000000000001E-4</v>
      </c>
      <c r="N8" s="474">
        <v>1</v>
      </c>
      <c r="O8" s="474">
        <v>3</v>
      </c>
      <c r="P8" s="477">
        <v>2000</v>
      </c>
      <c r="Q8" s="483">
        <v>2</v>
      </c>
      <c r="R8" s="487">
        <v>-40</v>
      </c>
      <c r="S8" s="487">
        <v>105</v>
      </c>
      <c r="T8" s="478"/>
      <c r="U8" s="478">
        <v>1000000000</v>
      </c>
      <c r="V8" s="479">
        <v>1000000000</v>
      </c>
      <c r="W8" s="500">
        <v>1</v>
      </c>
      <c r="X8" s="486">
        <v>3.0000000000000001E-3</v>
      </c>
      <c r="Y8" s="480">
        <f t="shared" ref="Y8:Y11" si="1">ROW()-6</f>
        <v>2</v>
      </c>
      <c r="Z8" s="480" t="str">
        <f>IF(OR($AL$75=Devices[[#This Row],[Input Type]], 0=Devices[[#This Row],[Input Type]]),Devices[[#This Row],[Row Num]], " ")</f>
        <v xml:space="preserve"> </v>
      </c>
      <c r="AA8" s="480">
        <f>IF(OR($AL$76=Devices[[#This Row],[Input Type]], 0=Devices[[#This Row],[Input Type]]),Devices[[#This Row],[Row Num]], " ")</f>
        <v>2</v>
      </c>
      <c r="AB8" s="480" t="str">
        <f>IF(0=Devices[[#This Row],[Input Type]], Devices[[#This Row],[Row Num]], " ")</f>
        <v xml:space="preserve"> </v>
      </c>
      <c r="AC8" s="480">
        <f>IFERROR(SMALL(Devices[Row Sel D], Devices[[#This Row],[Row Num]]), " ")</f>
        <v>8</v>
      </c>
      <c r="AD8" s="480">
        <f>IFERROR(SMALL(Devices[Row Sel SE], Devices[[#This Row],[Row Num]]), " ")</f>
        <v>2</v>
      </c>
      <c r="AE8" s="480">
        <f>IFERROR(SMALL(Devices[Row Sel N], Devices[[#This Row],[Row Num]]), " ")</f>
        <v>58</v>
      </c>
      <c r="AF8" s="480" t="str">
        <f>IFERROR(INDEX(Devices[Part], Devices[[#This Row],[Sel D]], 1), "")</f>
        <v>AMC1202</v>
      </c>
      <c r="AG8" s="480" t="str">
        <f>IFERROR(INDEX(Devices[Part], Devices[[#This Row],[Sel SE]], 1), "")</f>
        <v>AMC0311D</v>
      </c>
      <c r="AH8" s="480">
        <f>IFERROR(INDEX(Devices[Part], Devices[[#This Row],[Sel N]], 1), "")</f>
        <v>0</v>
      </c>
      <c r="AJ8" s="347"/>
    </row>
    <row r="9" spans="1:50" s="470" customFormat="1" ht="15" customHeight="1">
      <c r="A9" s="387" t="s">
        <v>489</v>
      </c>
      <c r="B9" s="349" t="s">
        <v>52</v>
      </c>
      <c r="C9" s="481" t="s">
        <v>51</v>
      </c>
      <c r="D9" s="473">
        <v>4.0000000000000002E-4</v>
      </c>
      <c r="E9" s="473">
        <v>2.5000000000000001E-3</v>
      </c>
      <c r="F9" s="474">
        <v>5</v>
      </c>
      <c r="G9" s="474">
        <v>50</v>
      </c>
      <c r="H9" s="475">
        <v>0.1</v>
      </c>
      <c r="I9" s="475">
        <v>0.8</v>
      </c>
      <c r="J9" s="476">
        <v>1</v>
      </c>
      <c r="K9" s="476">
        <v>10</v>
      </c>
      <c r="L9" s="488">
        <v>2.0000000000000002E-5</v>
      </c>
      <c r="M9" s="488">
        <v>3.5E-4</v>
      </c>
      <c r="N9" s="474">
        <v>1</v>
      </c>
      <c r="O9" s="474">
        <v>3</v>
      </c>
      <c r="P9" s="477">
        <v>2000</v>
      </c>
      <c r="Q9" s="483">
        <v>2</v>
      </c>
      <c r="R9" s="487">
        <v>-40</v>
      </c>
      <c r="S9" s="487">
        <v>125</v>
      </c>
      <c r="T9" s="478"/>
      <c r="U9" s="478">
        <v>2400000000</v>
      </c>
      <c r="V9" s="479">
        <v>2400000000</v>
      </c>
      <c r="W9" s="500">
        <v>1</v>
      </c>
      <c r="X9" s="486">
        <v>3.0000000000000001E-3</v>
      </c>
      <c r="Y9" s="480">
        <f>ROW()-6</f>
        <v>3</v>
      </c>
      <c r="Z9" s="480" t="str">
        <f>IF(OR($AL$75=Devices[[#This Row],[Input Type]], 0=Devices[[#This Row],[Input Type]]),Devices[[#This Row],[Row Num]], " ")</f>
        <v xml:space="preserve"> </v>
      </c>
      <c r="AA9" s="480">
        <f>IF(OR($AL$76=Devices[[#This Row],[Input Type]], 0=Devices[[#This Row],[Input Type]]),Devices[[#This Row],[Row Num]], " ")</f>
        <v>3</v>
      </c>
      <c r="AB9" s="480" t="str">
        <f>IF(0=Devices[[#This Row],[Input Type]], Devices[[#This Row],[Row Num]], " ")</f>
        <v xml:space="preserve"> </v>
      </c>
      <c r="AC9" s="480">
        <f>IFERROR(SMALL(Devices[Row Sel D], Devices[[#This Row],[Row Num]]), " ")</f>
        <v>10</v>
      </c>
      <c r="AD9" s="480">
        <f>IFERROR(SMALL(Devices[Row Sel SE], Devices[[#This Row],[Row Num]]), " ")</f>
        <v>3</v>
      </c>
      <c r="AE9" s="480">
        <f>IFERROR(SMALL(Devices[Row Sel N], Devices[[#This Row],[Row Num]]), " ")</f>
        <v>59</v>
      </c>
      <c r="AF9" s="480" t="str">
        <f>IFERROR(INDEX(Devices[Part], Devices[[#This Row],[Sel D]], 1), "")</f>
        <v>AMC1300</v>
      </c>
      <c r="AG9" s="480" t="str">
        <f>IFERROR(INDEX(Devices[Part], Devices[[#This Row],[Sel SE]], 1), "")</f>
        <v>AMC0311D-Q1</v>
      </c>
      <c r="AH9" s="480">
        <f>IFERROR(INDEX(Devices[Part], Devices[[#This Row],[Sel N]], 1), "")</f>
        <v>0</v>
      </c>
      <c r="AJ9" s="347"/>
    </row>
    <row r="10" spans="1:50" s="470" customFormat="1" ht="15" customHeight="1">
      <c r="A10" s="387" t="s">
        <v>490</v>
      </c>
      <c r="B10" s="349" t="s">
        <v>52</v>
      </c>
      <c r="C10" s="481" t="s">
        <v>491</v>
      </c>
      <c r="D10" s="473">
        <v>4.0000000000000002E-4</v>
      </c>
      <c r="E10" s="473">
        <v>2.5000000000000001E-3</v>
      </c>
      <c r="F10" s="474">
        <v>5</v>
      </c>
      <c r="G10" s="474">
        <v>40</v>
      </c>
      <c r="H10" s="475">
        <v>0.15</v>
      </c>
      <c r="I10" s="475">
        <v>1.5</v>
      </c>
      <c r="J10" s="476">
        <v>3</v>
      </c>
      <c r="K10" s="476">
        <v>30</v>
      </c>
      <c r="L10" s="488">
        <v>2.0000000000000002E-5</v>
      </c>
      <c r="M10" s="473">
        <v>8.0000000000000004E-4</v>
      </c>
      <c r="N10" s="474">
        <v>1</v>
      </c>
      <c r="O10" s="474">
        <v>3</v>
      </c>
      <c r="P10" s="477">
        <v>2250</v>
      </c>
      <c r="Q10" s="484">
        <v>3.3</v>
      </c>
      <c r="R10" s="487">
        <v>-40</v>
      </c>
      <c r="S10" s="487">
        <v>125</v>
      </c>
      <c r="T10" s="478"/>
      <c r="U10" s="478">
        <v>2400000000</v>
      </c>
      <c r="V10" s="479">
        <v>2400000000</v>
      </c>
      <c r="W10" s="501">
        <v>1.2890625</v>
      </c>
      <c r="X10" s="486">
        <v>3.0000000000000001E-3</v>
      </c>
      <c r="Y10" s="480">
        <f>ROW()-6</f>
        <v>4</v>
      </c>
      <c r="Z10" s="480" t="str">
        <f>IF(OR($AL$75=Devices[[#This Row],[Input Type]], 0=Devices[[#This Row],[Input Type]]),Devices[[#This Row],[Row Num]], " ")</f>
        <v xml:space="preserve"> </v>
      </c>
      <c r="AA10" s="480">
        <f>IF(OR($AL$76=Devices[[#This Row],[Input Type]], 0=Devices[[#This Row],[Input Type]]),Devices[[#This Row],[Row Num]], " ")</f>
        <v>4</v>
      </c>
      <c r="AB10" s="480" t="str">
        <f>IF(0=Devices[[#This Row],[Input Type]], Devices[[#This Row],[Row Num]], " ")</f>
        <v xml:space="preserve"> </v>
      </c>
      <c r="AC10" s="480">
        <f>IFERROR(SMALL(Devices[Row Sel D], Devices[[#This Row],[Row Num]]), " ")</f>
        <v>11</v>
      </c>
      <c r="AD10" s="480">
        <f>IFERROR(SMALL(Devices[Row Sel SE], Devices[[#This Row],[Row Num]]), " ")</f>
        <v>4</v>
      </c>
      <c r="AE10" s="480">
        <f>IFERROR(SMALL(Devices[Row Sel N], Devices[[#This Row],[Row Num]]), " ")</f>
        <v>60</v>
      </c>
      <c r="AF10" s="480" t="str">
        <f>IFERROR(INDEX(Devices[Part], Devices[[#This Row],[Sel D]], 1), "")</f>
        <v>AMC1300B</v>
      </c>
      <c r="AG10" s="480" t="str">
        <f>IFERROR(INDEX(Devices[Part], Devices[[#This Row],[Sel SE]], 1), "")</f>
        <v>AMC0311R-Q1 (Vref = 3.3V)</v>
      </c>
      <c r="AH10" s="480">
        <f>IFERROR(INDEX(Devices[Part], Devices[[#This Row],[Sel N]], 1), "")</f>
        <v>0</v>
      </c>
      <c r="AJ10" s="347"/>
    </row>
    <row r="11" spans="1:50" s="470" customFormat="1" ht="15" customHeight="1">
      <c r="A11" s="387" t="s">
        <v>492</v>
      </c>
      <c r="B11" s="349" t="s">
        <v>52</v>
      </c>
      <c r="C11" s="481" t="s">
        <v>491</v>
      </c>
      <c r="D11" s="473">
        <v>4.0000000000000002E-4</v>
      </c>
      <c r="E11" s="473">
        <v>2.5000000000000001E-3</v>
      </c>
      <c r="F11" s="474">
        <v>5</v>
      </c>
      <c r="G11" s="474">
        <v>40</v>
      </c>
      <c r="H11" s="475">
        <v>0.15</v>
      </c>
      <c r="I11" s="475">
        <v>1.5</v>
      </c>
      <c r="J11" s="476">
        <v>3</v>
      </c>
      <c r="K11" s="476">
        <v>30</v>
      </c>
      <c r="L11" s="488">
        <v>2.0000000000000002E-5</v>
      </c>
      <c r="M11" s="473">
        <v>8.0000000000000004E-4</v>
      </c>
      <c r="N11" s="474">
        <v>1</v>
      </c>
      <c r="O11" s="474">
        <v>3</v>
      </c>
      <c r="P11" s="477">
        <v>2250</v>
      </c>
      <c r="Q11" s="483">
        <v>5</v>
      </c>
      <c r="R11" s="487">
        <v>-40</v>
      </c>
      <c r="S11" s="487">
        <v>125</v>
      </c>
      <c r="T11" s="478"/>
      <c r="U11" s="478">
        <v>2400000000</v>
      </c>
      <c r="V11" s="479">
        <v>2400000000</v>
      </c>
      <c r="W11" s="501">
        <v>1.953125</v>
      </c>
      <c r="X11" s="486">
        <v>3.0000000000000001E-3</v>
      </c>
      <c r="Y11" s="480">
        <f t="shared" si="1"/>
        <v>5</v>
      </c>
      <c r="Z11" s="480" t="str">
        <f>IF(OR($AL$75=Devices[[#This Row],[Input Type]], 0=Devices[[#This Row],[Input Type]]),Devices[[#This Row],[Row Num]], " ")</f>
        <v xml:space="preserve"> </v>
      </c>
      <c r="AA11" s="480">
        <f>IF(OR($AL$76=Devices[[#This Row],[Input Type]], 0=Devices[[#This Row],[Input Type]]),Devices[[#This Row],[Row Num]], " ")</f>
        <v>5</v>
      </c>
      <c r="AB11" s="480" t="str">
        <f>IF(0=Devices[[#This Row],[Input Type]], Devices[[#This Row],[Row Num]], " ")</f>
        <v xml:space="preserve"> </v>
      </c>
      <c r="AC11" s="480">
        <f>IFERROR(SMALL(Devices[Row Sel D], Devices[[#This Row],[Row Num]]), " ")</f>
        <v>12</v>
      </c>
      <c r="AD11" s="480">
        <f>IFERROR(SMALL(Devices[Row Sel SE], Devices[[#This Row],[Row Num]]), " ")</f>
        <v>5</v>
      </c>
      <c r="AE11" s="480">
        <f>IFERROR(SMALL(Devices[Row Sel N], Devices[[#This Row],[Row Num]]), " ")</f>
        <v>61</v>
      </c>
      <c r="AF11" s="480" t="str">
        <f>IFERROR(INDEX(Devices[Part], Devices[[#This Row],[Sel D]], 1), "")</f>
        <v>AMC1300-Q1</v>
      </c>
      <c r="AG11" s="480" t="str">
        <f>IFERROR(INDEX(Devices[Part], Devices[[#This Row],[Sel SE]], 1), "")</f>
        <v>AMC0311R-Q1 (Vref = 5V)</v>
      </c>
      <c r="AH11" s="480">
        <f>IFERROR(INDEX(Devices[Part], Devices[[#This Row],[Sel N]], 1), "")</f>
        <v>0</v>
      </c>
      <c r="AJ11" s="347"/>
    </row>
    <row r="12" spans="1:50" s="470" customFormat="1" ht="15" customHeight="1">
      <c r="A12" s="387" t="s">
        <v>493</v>
      </c>
      <c r="B12" s="349" t="s">
        <v>52</v>
      </c>
      <c r="C12" s="481" t="s">
        <v>52</v>
      </c>
      <c r="D12" s="473">
        <v>5.0000000000000001E-4</v>
      </c>
      <c r="E12" s="473">
        <v>2.5000000000000001E-3</v>
      </c>
      <c r="F12" s="474">
        <v>5</v>
      </c>
      <c r="G12" s="474">
        <v>40</v>
      </c>
      <c r="H12" s="475">
        <v>0.2</v>
      </c>
      <c r="I12" s="475">
        <v>1</v>
      </c>
      <c r="J12" s="476">
        <v>4</v>
      </c>
      <c r="K12" s="476">
        <v>25</v>
      </c>
      <c r="L12" s="488">
        <v>2.0000000000000002E-5</v>
      </c>
      <c r="M12" s="473">
        <v>2.0000000000000001E-4</v>
      </c>
      <c r="N12" s="474">
        <v>1</v>
      </c>
      <c r="O12" s="474">
        <v>3</v>
      </c>
      <c r="P12" s="477">
        <v>2250</v>
      </c>
      <c r="Q12" s="485">
        <v>2.25</v>
      </c>
      <c r="R12" s="487">
        <v>-40</v>
      </c>
      <c r="S12" s="487">
        <v>105</v>
      </c>
      <c r="T12" s="478"/>
      <c r="U12" s="478">
        <v>1000000000</v>
      </c>
      <c r="V12" s="479">
        <v>1000000000</v>
      </c>
      <c r="W12" s="500">
        <v>1</v>
      </c>
      <c r="X12" s="486">
        <v>3.0000000000000001E-3</v>
      </c>
      <c r="Y12" s="480">
        <f>ROW()-6</f>
        <v>6</v>
      </c>
      <c r="Z12" s="480" t="str">
        <f>IF(OR($AL$75=Devices[[#This Row],[Input Type]], 0=Devices[[#This Row],[Input Type]]),Devices[[#This Row],[Row Num]], " ")</f>
        <v xml:space="preserve"> </v>
      </c>
      <c r="AA12" s="480">
        <f>IF(OR($AL$76=Devices[[#This Row],[Input Type]], 0=Devices[[#This Row],[Input Type]]),Devices[[#This Row],[Row Num]], " ")</f>
        <v>6</v>
      </c>
      <c r="AB12" s="480" t="str">
        <f>IF(0=Devices[[#This Row],[Input Type]], Devices[[#This Row],[Row Num]], " ")</f>
        <v xml:space="preserve"> </v>
      </c>
      <c r="AC12" s="480">
        <f>IFERROR(SMALL(Devices[Row Sel D], Devices[[#This Row],[Row Num]]), " ")</f>
        <v>13</v>
      </c>
      <c r="AD12" s="480">
        <f>IFERROR(SMALL(Devices[Row Sel SE], Devices[[#This Row],[Row Num]]), " ")</f>
        <v>6</v>
      </c>
      <c r="AE12" s="480">
        <f>IFERROR(SMALL(Devices[Row Sel N], Devices[[#This Row],[Row Num]]), " ")</f>
        <v>62</v>
      </c>
      <c r="AF12" s="480" t="str">
        <f>IFERROR(INDEX(Devices[Part], Devices[[#This Row],[Sel D]], 1), "")</f>
        <v>AMC1300B-Q1</v>
      </c>
      <c r="AG12" s="480" t="str">
        <f>IFERROR(INDEX(Devices[Part], Devices[[#This Row],[Sel SE]], 1), "")</f>
        <v>AMC0311S</v>
      </c>
      <c r="AH12" s="480">
        <f>IFERROR(INDEX(Devices[Part], Devices[[#This Row],[Sel N]], 1), "")</f>
        <v>0</v>
      </c>
      <c r="AJ12" s="347"/>
    </row>
    <row r="13" spans="1:50" s="470" customFormat="1" ht="15" customHeight="1">
      <c r="A13" s="387" t="s">
        <v>494</v>
      </c>
      <c r="B13" s="349" t="s">
        <v>52</v>
      </c>
      <c r="C13" s="481" t="s">
        <v>52</v>
      </c>
      <c r="D13" s="473">
        <v>4.0000000000000002E-4</v>
      </c>
      <c r="E13" s="473">
        <v>2.5000000000000001E-3</v>
      </c>
      <c r="F13" s="474">
        <v>5</v>
      </c>
      <c r="G13" s="474">
        <v>50</v>
      </c>
      <c r="H13" s="475">
        <v>0.15</v>
      </c>
      <c r="I13" s="475">
        <v>1</v>
      </c>
      <c r="J13" s="476">
        <v>3</v>
      </c>
      <c r="K13" s="476">
        <v>30</v>
      </c>
      <c r="L13" s="488">
        <v>2.0000000000000002E-5</v>
      </c>
      <c r="M13" s="473">
        <v>8.0000000000000004E-4</v>
      </c>
      <c r="N13" s="474">
        <v>1</v>
      </c>
      <c r="O13" s="474">
        <v>3</v>
      </c>
      <c r="P13" s="477">
        <v>2250</v>
      </c>
      <c r="Q13" s="485">
        <v>2.25</v>
      </c>
      <c r="R13" s="487">
        <v>-40</v>
      </c>
      <c r="S13" s="487">
        <v>125</v>
      </c>
      <c r="T13" s="478"/>
      <c r="U13" s="478">
        <v>2400000000</v>
      </c>
      <c r="V13" s="479">
        <v>2400000000</v>
      </c>
      <c r="W13" s="500">
        <v>1</v>
      </c>
      <c r="X13" s="486">
        <v>3.0000000000000001E-3</v>
      </c>
      <c r="Y13" s="480">
        <f>ROW()-6</f>
        <v>7</v>
      </c>
      <c r="Z13" s="480" t="str">
        <f>IF(OR($AL$75=Devices[[#This Row],[Input Type]], 0=Devices[[#This Row],[Input Type]]),Devices[[#This Row],[Row Num]], " ")</f>
        <v xml:space="preserve"> </v>
      </c>
      <c r="AA13" s="480">
        <f>IF(OR($AL$76=Devices[[#This Row],[Input Type]], 0=Devices[[#This Row],[Input Type]]),Devices[[#This Row],[Row Num]], " ")</f>
        <v>7</v>
      </c>
      <c r="AB13" s="480" t="str">
        <f>IF(0=Devices[[#This Row],[Input Type]], Devices[[#This Row],[Row Num]], " ")</f>
        <v xml:space="preserve"> </v>
      </c>
      <c r="AC13" s="480">
        <f>IFERROR(SMALL(Devices[Row Sel D], Devices[[#This Row],[Row Num]]), " ")</f>
        <v>14</v>
      </c>
      <c r="AD13" s="480">
        <f>IFERROR(SMALL(Devices[Row Sel SE], Devices[[#This Row],[Row Num]]), " ")</f>
        <v>7</v>
      </c>
      <c r="AE13" s="480">
        <f>IFERROR(SMALL(Devices[Row Sel N], Devices[[#This Row],[Row Num]]), " ")</f>
        <v>63</v>
      </c>
      <c r="AF13" s="480" t="str">
        <f>IFERROR(INDEX(Devices[Part], Devices[[#This Row],[Sel D]], 1), "")</f>
        <v>AMC1301</v>
      </c>
      <c r="AG13" s="480" t="str">
        <f>IFERROR(INDEX(Devices[Part], Devices[[#This Row],[Sel SE]], 1), "")</f>
        <v>AMC0311S-Q1</v>
      </c>
      <c r="AH13" s="480">
        <f>IFERROR(INDEX(Devices[Part], Devices[[#This Row],[Sel N]], 1), "")</f>
        <v>0</v>
      </c>
      <c r="AJ13" s="347"/>
    </row>
    <row r="14" spans="1:50" ht="15" customHeight="1">
      <c r="A14" s="348" t="s">
        <v>217</v>
      </c>
      <c r="B14" s="349" t="s">
        <v>51</v>
      </c>
      <c r="C14" s="481" t="s">
        <v>51</v>
      </c>
      <c r="D14" s="350">
        <v>4.0000000000000002E-4</v>
      </c>
      <c r="E14" s="350">
        <v>2E-3</v>
      </c>
      <c r="F14" s="351">
        <v>3</v>
      </c>
      <c r="G14" s="351">
        <v>35</v>
      </c>
      <c r="H14" s="352">
        <v>2.5000000000000001E-3</v>
      </c>
      <c r="I14" s="352">
        <v>0.05</v>
      </c>
      <c r="J14" s="353">
        <v>0.15</v>
      </c>
      <c r="K14" s="353">
        <v>0.8</v>
      </c>
      <c r="L14" s="350">
        <v>1E-4</v>
      </c>
      <c r="M14" s="350">
        <v>2.9999999999999997E-4</v>
      </c>
      <c r="N14" s="351">
        <v>1</v>
      </c>
      <c r="O14" s="351">
        <v>3</v>
      </c>
      <c r="P14" s="354">
        <v>50</v>
      </c>
      <c r="Q14" s="354" t="s">
        <v>495</v>
      </c>
      <c r="R14" s="355">
        <v>-55</v>
      </c>
      <c r="S14" s="355">
        <v>125</v>
      </c>
      <c r="T14" s="356"/>
      <c r="U14" s="357">
        <v>4750</v>
      </c>
      <c r="V14" s="358">
        <v>4900</v>
      </c>
      <c r="W14" s="359">
        <v>41</v>
      </c>
      <c r="X14" s="360">
        <v>36</v>
      </c>
      <c r="Y14" s="345">
        <f t="shared" si="0"/>
        <v>8</v>
      </c>
      <c r="Z14" s="345">
        <f>IF(OR($AL$75=Devices[[#This Row],[Input Type]], 0=Devices[[#This Row],[Input Type]]),Devices[[#This Row],[Row Num]], " ")</f>
        <v>8</v>
      </c>
      <c r="AA14" s="345" t="str">
        <f>IF(OR($AL$76=Devices[[#This Row],[Input Type]], 0=Devices[[#This Row],[Input Type]]),Devices[[#This Row],[Row Num]], " ")</f>
        <v xml:space="preserve"> </v>
      </c>
      <c r="AB14" s="345" t="str">
        <f>IF(0=Devices[[#This Row],[Input Type]], Devices[[#This Row],[Row Num]], " ")</f>
        <v xml:space="preserve"> </v>
      </c>
      <c r="AC14" s="346">
        <f>IFERROR(SMALL(Devices[Row Sel D], Devices[[#This Row],[Row Num]]), " ")</f>
        <v>15</v>
      </c>
      <c r="AD14" s="346">
        <f>IFERROR(SMALL(Devices[Row Sel SE], Devices[[#This Row],[Row Num]]), " ")</f>
        <v>9</v>
      </c>
      <c r="AE14" s="361">
        <f>IFERROR(SMALL(Devices[Row Sel N], Devices[[#This Row],[Row Num]]), " ")</f>
        <v>64</v>
      </c>
      <c r="AF14" s="346" t="str">
        <f>IFERROR(INDEX(Devices[Part], Devices[[#This Row],[Sel D]], 1), "")</f>
        <v>AMC1301S</v>
      </c>
      <c r="AG14" s="346" t="str">
        <f>IFERROR(INDEX(Devices[Part], Devices[[#This Row],[Sel SE]], 1), "")</f>
        <v>AMC1211-Q1</v>
      </c>
      <c r="AH14" s="346">
        <f>IFERROR(INDEX(Devices[Part], Devices[[#This Row],[Sel N]], 1), "")</f>
        <v>0</v>
      </c>
    </row>
    <row r="15" spans="1:50" ht="15" customHeight="1">
      <c r="A15" s="362" t="s">
        <v>203</v>
      </c>
      <c r="B15" s="349" t="s">
        <v>52</v>
      </c>
      <c r="C15" s="481" t="s">
        <v>51</v>
      </c>
      <c r="D15" s="350">
        <v>5.0000000000000001E-4</v>
      </c>
      <c r="E15" s="350">
        <v>2E-3</v>
      </c>
      <c r="F15" s="351">
        <v>5</v>
      </c>
      <c r="G15" s="351">
        <v>40</v>
      </c>
      <c r="H15" s="363">
        <v>0.4</v>
      </c>
      <c r="I15" s="352">
        <v>1.5</v>
      </c>
      <c r="J15" s="353">
        <v>3</v>
      </c>
      <c r="K15" s="353">
        <v>10</v>
      </c>
      <c r="L15" s="350">
        <v>1E-4</v>
      </c>
      <c r="M15" s="350">
        <v>4.0000000000000002E-4</v>
      </c>
      <c r="N15" s="351">
        <v>1</v>
      </c>
      <c r="O15" s="351">
        <v>3</v>
      </c>
      <c r="P15" s="354">
        <v>2000</v>
      </c>
      <c r="Q15" s="354" t="s">
        <v>496</v>
      </c>
      <c r="R15" s="355">
        <v>-40</v>
      </c>
      <c r="S15" s="355">
        <v>125</v>
      </c>
      <c r="T15" s="356"/>
      <c r="U15" s="356">
        <v>1000000000</v>
      </c>
      <c r="V15" s="356">
        <v>1000000000</v>
      </c>
      <c r="W15" s="364">
        <v>1</v>
      </c>
      <c r="X15" s="365">
        <v>3.5000000000000001E-3</v>
      </c>
      <c r="Y15" s="366">
        <f>ROW()-6</f>
        <v>9</v>
      </c>
      <c r="Z15" s="366" t="str">
        <f>IF(OR($AL$75=Devices[[#This Row],[Input Type]], 0=Devices[[#This Row],[Input Type]]),Devices[[#This Row],[Row Num]], " ")</f>
        <v xml:space="preserve"> </v>
      </c>
      <c r="AA15" s="366">
        <f>IF(OR($AL$76=Devices[[#This Row],[Input Type]], 0=Devices[[#This Row],[Input Type]]),Devices[[#This Row],[Row Num]], " ")</f>
        <v>9</v>
      </c>
      <c r="AB15" s="366" t="str">
        <f>IF(0=Devices[[#This Row],[Input Type]], Devices[[#This Row],[Row Num]], " ")</f>
        <v xml:space="preserve"> </v>
      </c>
      <c r="AC15" s="366">
        <f>IFERROR(SMALL(Devices[Row Sel D], Devices[[#This Row],[Row Num]]), " ")</f>
        <v>16</v>
      </c>
      <c r="AD15" s="366">
        <f>IFERROR(SMALL(Devices[Row Sel SE], Devices[[#This Row],[Row Num]]), " ")</f>
        <v>19</v>
      </c>
      <c r="AE15" s="366">
        <f>IFERROR(SMALL(Devices[Row Sel N], Devices[[#This Row],[Row Num]]), " ")</f>
        <v>65</v>
      </c>
      <c r="AF15" s="366" t="str">
        <f>IFERROR(INDEX(Devices[Part], Devices[[#This Row],[Sel D]], 1), "")</f>
        <v>AMC1301-Q1</v>
      </c>
      <c r="AG15" s="366" t="str">
        <f>IFERROR(INDEX(Devices[Part], Devices[[#This Row],[Sel SE]], 1), "")</f>
        <v>AMC1311</v>
      </c>
      <c r="AH15" s="366">
        <f>IFERROR(INDEX(Devices[Part], Devices[[#This Row],[Sel N]], 1), "")</f>
        <v>0</v>
      </c>
    </row>
    <row r="16" spans="1:50" ht="15" customHeight="1">
      <c r="A16" s="367" t="s">
        <v>13</v>
      </c>
      <c r="B16" s="368" t="s">
        <v>51</v>
      </c>
      <c r="C16" s="481" t="s">
        <v>51</v>
      </c>
      <c r="D16" s="369">
        <v>4.0000000000000001E-3</v>
      </c>
      <c r="E16" s="369">
        <v>0.01</v>
      </c>
      <c r="F16" s="370">
        <v>50</v>
      </c>
      <c r="G16" s="370">
        <v>150</v>
      </c>
      <c r="H16" s="371">
        <v>0.01</v>
      </c>
      <c r="I16" s="371">
        <v>2</v>
      </c>
      <c r="J16" s="372">
        <v>1.3</v>
      </c>
      <c r="K16" s="372">
        <v>4</v>
      </c>
      <c r="L16" s="373">
        <v>1E-4</v>
      </c>
      <c r="M16" s="373">
        <v>2.9999999999999997E-4</v>
      </c>
      <c r="N16" s="370">
        <v>1</v>
      </c>
      <c r="O16" s="370">
        <v>3</v>
      </c>
      <c r="P16" s="374">
        <v>250</v>
      </c>
      <c r="Q16" s="374" t="s">
        <v>495</v>
      </c>
      <c r="R16" s="375">
        <v>-40</v>
      </c>
      <c r="S16" s="375">
        <v>125</v>
      </c>
      <c r="T16" s="358">
        <v>12500</v>
      </c>
      <c r="U16" s="357">
        <v>19000</v>
      </c>
      <c r="V16" s="358">
        <v>22000</v>
      </c>
      <c r="W16" s="359">
        <v>8.1999999999999993</v>
      </c>
      <c r="X16" s="360">
        <v>30</v>
      </c>
      <c r="Y16" s="345">
        <f t="shared" si="0"/>
        <v>10</v>
      </c>
      <c r="Z16" s="345">
        <f>IF(OR($AL$75=Devices[[#This Row],[Input Type]], 0=Devices[[#This Row],[Input Type]]),Devices[[#This Row],[Row Num]], " ")</f>
        <v>10</v>
      </c>
      <c r="AA16" s="345" t="str">
        <f>IF(OR($AL$76=Devices[[#This Row],[Input Type]], 0=Devices[[#This Row],[Input Type]]),Devices[[#This Row],[Row Num]], " ")</f>
        <v xml:space="preserve"> </v>
      </c>
      <c r="AB16" s="345" t="str">
        <f>IF(0=Devices[[#This Row],[Input Type]], Devices[[#This Row],[Row Num]], " ")</f>
        <v xml:space="preserve"> </v>
      </c>
      <c r="AC16" s="346">
        <f>IFERROR(SMALL(Devices[Row Sel D], Devices[[#This Row],[Row Num]]), " ")</f>
        <v>17</v>
      </c>
      <c r="AD16" s="346">
        <f>IFERROR(SMALL(Devices[Row Sel SE], Devices[[#This Row],[Row Num]]), " ")</f>
        <v>20</v>
      </c>
      <c r="AE16" s="346">
        <f>IFERROR(SMALL(Devices[Row Sel N], Devices[[#This Row],[Row Num]]), " ")</f>
        <v>66</v>
      </c>
      <c r="AF16" s="346" t="str">
        <f>IFERROR(INDEX(Devices[Part], Devices[[#This Row],[Sel D]], 1), "")</f>
        <v>AMC1302</v>
      </c>
      <c r="AG16" s="346" t="str">
        <f>IFERROR(INDEX(Devices[Part], Devices[[#This Row],[Sel SE]], 1), "")</f>
        <v>AMC1311B</v>
      </c>
      <c r="AH16" s="346">
        <f>IFERROR(INDEX(Devices[Part], Devices[[#This Row],[Sel N]], 1), "")</f>
        <v>0</v>
      </c>
    </row>
    <row r="17" spans="1:36" ht="15" customHeight="1">
      <c r="A17" s="376" t="s">
        <v>73</v>
      </c>
      <c r="B17" s="377" t="s">
        <v>51</v>
      </c>
      <c r="C17" s="481" t="s">
        <v>51</v>
      </c>
      <c r="D17" s="378">
        <v>5.0000000000000001E-4</v>
      </c>
      <c r="E17" s="378">
        <v>3.0000000000000001E-3</v>
      </c>
      <c r="F17" s="379">
        <v>5</v>
      </c>
      <c r="G17" s="379">
        <v>30</v>
      </c>
      <c r="H17" s="380">
        <v>0.01</v>
      </c>
      <c r="I17" s="380">
        <v>0.2</v>
      </c>
      <c r="J17" s="381">
        <v>0.1</v>
      </c>
      <c r="K17" s="381">
        <v>0.9</v>
      </c>
      <c r="L17" s="378">
        <v>1E-4</v>
      </c>
      <c r="M17" s="378">
        <v>2.9999999999999997E-4</v>
      </c>
      <c r="N17" s="379">
        <v>1</v>
      </c>
      <c r="O17" s="379">
        <v>3</v>
      </c>
      <c r="P17" s="382">
        <v>250</v>
      </c>
      <c r="Q17" s="401" t="s">
        <v>495</v>
      </c>
      <c r="R17" s="383">
        <v>-55</v>
      </c>
      <c r="S17" s="383">
        <v>125</v>
      </c>
      <c r="T17" s="357">
        <v>12500</v>
      </c>
      <c r="U17" s="357">
        <v>19000</v>
      </c>
      <c r="V17" s="384">
        <v>22222</v>
      </c>
      <c r="W17" s="359">
        <v>8.1999999999999993</v>
      </c>
      <c r="X17" s="360">
        <v>30</v>
      </c>
      <c r="Y17" s="345">
        <f t="shared" si="0"/>
        <v>11</v>
      </c>
      <c r="Z17" s="345">
        <f>IF(OR($AL$75=Devices[[#This Row],[Input Type]], 0=Devices[[#This Row],[Input Type]]),Devices[[#This Row],[Row Num]], " ")</f>
        <v>11</v>
      </c>
      <c r="AA17" s="345" t="str">
        <f>IF(OR($AL$76=Devices[[#This Row],[Input Type]], 0=Devices[[#This Row],[Input Type]]),Devices[[#This Row],[Row Num]], " ")</f>
        <v xml:space="preserve"> </v>
      </c>
      <c r="AB17" s="345" t="str">
        <f>IF(0=Devices[[#This Row],[Input Type]], Devices[[#This Row],[Row Num]], " ")</f>
        <v xml:space="preserve"> </v>
      </c>
      <c r="AC17" s="346">
        <f>IFERROR(SMALL(Devices[Row Sel D], Devices[[#This Row],[Row Num]]), " ")</f>
        <v>18</v>
      </c>
      <c r="AD17" s="346">
        <f>IFERROR(SMALL(Devices[Row Sel SE], Devices[[#This Row],[Row Num]]), " ")</f>
        <v>21</v>
      </c>
      <c r="AE17" s="346" t="str">
        <f>IFERROR(SMALL(Devices[Row Sel N], Devices[[#This Row],[Row Num]]), " ")</f>
        <v xml:space="preserve"> </v>
      </c>
      <c r="AF17" s="346" t="str">
        <f>IFERROR(INDEX(Devices[Part], Devices[[#This Row],[Sel D]], 1), "")</f>
        <v>AMC1302-Q1</v>
      </c>
      <c r="AG17" s="346" t="str">
        <f>IFERROR(INDEX(Devices[Part], Devices[[#This Row],[Sel SE]], 1), "")</f>
        <v>AMC1311-Q1</v>
      </c>
      <c r="AH17" s="346" t="str">
        <f>IFERROR(INDEX(Devices[Part], Devices[[#This Row],[Sel N]], 1), "")</f>
        <v/>
      </c>
      <c r="AJ17" s="347"/>
    </row>
    <row r="18" spans="1:36" ht="15" customHeight="1">
      <c r="A18" s="367" t="s">
        <v>61</v>
      </c>
      <c r="B18" s="368" t="s">
        <v>51</v>
      </c>
      <c r="C18" s="481" t="s">
        <v>51</v>
      </c>
      <c r="D18" s="369">
        <v>4.0000000000000001E-3</v>
      </c>
      <c r="E18" s="369">
        <v>0.01</v>
      </c>
      <c r="F18" s="370">
        <v>50</v>
      </c>
      <c r="G18" s="370">
        <v>150</v>
      </c>
      <c r="H18" s="371">
        <v>0.01</v>
      </c>
      <c r="I18" s="371">
        <v>2</v>
      </c>
      <c r="J18" s="372">
        <v>1.3</v>
      </c>
      <c r="K18" s="372">
        <v>4</v>
      </c>
      <c r="L18" s="373">
        <v>1E-4</v>
      </c>
      <c r="M18" s="373">
        <v>2.9999999999999997E-4</v>
      </c>
      <c r="N18" s="370">
        <v>1</v>
      </c>
      <c r="O18" s="370">
        <v>3</v>
      </c>
      <c r="P18" s="374">
        <v>250</v>
      </c>
      <c r="Q18" s="374" t="s">
        <v>495</v>
      </c>
      <c r="R18" s="375">
        <v>-40</v>
      </c>
      <c r="S18" s="375">
        <v>125</v>
      </c>
      <c r="T18" s="358">
        <v>12500</v>
      </c>
      <c r="U18" s="385">
        <v>19000</v>
      </c>
      <c r="V18" s="385">
        <v>22000</v>
      </c>
      <c r="W18" s="359">
        <v>8.1999999999999993</v>
      </c>
      <c r="X18" s="386">
        <v>30</v>
      </c>
      <c r="Y18" s="345">
        <f t="shared" si="0"/>
        <v>12</v>
      </c>
      <c r="Z18" s="345">
        <f>IF(OR($AL$75=Devices[[#This Row],[Input Type]], 0=Devices[[#This Row],[Input Type]]),Devices[[#This Row],[Row Num]], " ")</f>
        <v>12</v>
      </c>
      <c r="AA18" s="345" t="str">
        <f>IF(OR($AL$76=Devices[[#This Row],[Input Type]], 0=Devices[[#This Row],[Input Type]]),Devices[[#This Row],[Row Num]], " ")</f>
        <v xml:space="preserve"> </v>
      </c>
      <c r="AB18" s="345" t="str">
        <f>IF(0=Devices[[#This Row],[Input Type]], Devices[[#This Row],[Row Num]], " ")</f>
        <v xml:space="preserve"> </v>
      </c>
      <c r="AC18" s="346">
        <f>IFERROR(SMALL(Devices[Row Sel D], Devices[[#This Row],[Row Num]]), " ")</f>
        <v>23</v>
      </c>
      <c r="AD18" s="346">
        <f>IFERROR(SMALL(Devices[Row Sel SE], Devices[[#This Row],[Row Num]]), " ")</f>
        <v>22</v>
      </c>
      <c r="AE18" s="346" t="str">
        <f>IFERROR(SMALL(Devices[Row Sel N], Devices[[#This Row],[Row Num]]), " ")</f>
        <v xml:space="preserve"> </v>
      </c>
      <c r="AF18" s="346" t="str">
        <f>IFERROR(INDEX(Devices[Part], Devices[[#This Row],[Sel D]], 1), "")</f>
        <v>AMC1350</v>
      </c>
      <c r="AG18" s="346" t="str">
        <f>IFERROR(INDEX(Devices[Part], Devices[[#This Row],[Sel SE]], 1), "")</f>
        <v>AMC1311B-Q1</v>
      </c>
      <c r="AH18" s="346" t="str">
        <f>IFERROR(INDEX(Devices[Part], Devices[[#This Row],[Sel N]], 1), "")</f>
        <v/>
      </c>
    </row>
    <row r="19" spans="1:36" ht="15" customHeight="1">
      <c r="A19" s="387" t="s">
        <v>207</v>
      </c>
      <c r="B19" s="349" t="s">
        <v>51</v>
      </c>
      <c r="C19" s="481" t="s">
        <v>51</v>
      </c>
      <c r="D19" s="378">
        <v>4.0000000000000002E-4</v>
      </c>
      <c r="E19" s="378">
        <v>3.0000000000000001E-3</v>
      </c>
      <c r="F19" s="379">
        <v>5</v>
      </c>
      <c r="G19" s="379">
        <v>30</v>
      </c>
      <c r="H19" s="380">
        <v>0.01</v>
      </c>
      <c r="I19" s="380">
        <v>0.2</v>
      </c>
      <c r="J19" s="381">
        <v>0.1</v>
      </c>
      <c r="K19" s="381">
        <v>0.9</v>
      </c>
      <c r="L19" s="378">
        <v>1E-4</v>
      </c>
      <c r="M19" s="378">
        <v>2.9999999999999997E-4</v>
      </c>
      <c r="N19" s="379">
        <v>0.4</v>
      </c>
      <c r="O19" s="379">
        <v>1.2</v>
      </c>
      <c r="P19" s="382">
        <v>250</v>
      </c>
      <c r="Q19" s="401" t="s">
        <v>495</v>
      </c>
      <c r="R19" s="388">
        <v>-40</v>
      </c>
      <c r="S19" s="388">
        <v>125</v>
      </c>
      <c r="T19" s="357">
        <v>12500</v>
      </c>
      <c r="U19" s="357">
        <v>19000</v>
      </c>
      <c r="V19" s="385">
        <v>22000</v>
      </c>
      <c r="W19" s="359">
        <v>8.1999999999999993</v>
      </c>
      <c r="X19" s="360">
        <v>30</v>
      </c>
      <c r="Y19" s="345">
        <f t="shared" si="0"/>
        <v>13</v>
      </c>
      <c r="Z19" s="345">
        <f>IF(OR($AL$75=Devices[[#This Row],[Input Type]], 0=Devices[[#This Row],[Input Type]]),Devices[[#This Row],[Row Num]], " ")</f>
        <v>13</v>
      </c>
      <c r="AA19" s="345" t="str">
        <f>IF(OR($AL$76=Devices[[#This Row],[Input Type]], 0=Devices[[#This Row],[Input Type]]),Devices[[#This Row],[Row Num]], " ")</f>
        <v xml:space="preserve"> </v>
      </c>
      <c r="AB19" s="345" t="str">
        <f>IF(0=Devices[[#This Row],[Input Type]], Devices[[#This Row],[Row Num]], " ")</f>
        <v xml:space="preserve"> </v>
      </c>
      <c r="AC19" s="346">
        <f>IFERROR(SMALL(Devices[Row Sel D], Devices[[#This Row],[Row Num]]), " ")</f>
        <v>25</v>
      </c>
      <c r="AD19" s="346">
        <f>IFERROR(SMALL(Devices[Row Sel SE], Devices[[#This Row],[Row Num]]), " ")</f>
        <v>24</v>
      </c>
      <c r="AE19" s="346" t="str">
        <f>IFERROR(SMALL(Devices[Row Sel N], Devices[[#This Row],[Row Num]]), " ")</f>
        <v xml:space="preserve"> </v>
      </c>
      <c r="AF19" s="346" t="str">
        <f>IFERROR(INDEX(Devices[Part], Devices[[#This Row],[Sel D]], 1), "")</f>
        <v>AMC1400</v>
      </c>
      <c r="AG19" s="346" t="str">
        <f>IFERROR(INDEX(Devices[Part], Devices[[#This Row],[Sel SE]], 1), "")</f>
        <v>AMC1351</v>
      </c>
      <c r="AH19" s="346" t="str">
        <f>IFERROR(INDEX(Devices[Part], Devices[[#This Row],[Sel N]], 1), "")</f>
        <v/>
      </c>
    </row>
    <row r="20" spans="1:36" ht="15" customHeight="1">
      <c r="A20" s="367" t="s">
        <v>14</v>
      </c>
      <c r="B20" s="339" t="s">
        <v>51</v>
      </c>
      <c r="C20" s="481" t="s">
        <v>51</v>
      </c>
      <c r="D20" s="389">
        <v>5.0000000000000001E-4</v>
      </c>
      <c r="E20" s="389">
        <v>3.0000000000000001E-3</v>
      </c>
      <c r="F20" s="390">
        <v>15</v>
      </c>
      <c r="G20" s="390">
        <v>50</v>
      </c>
      <c r="H20" s="391">
        <v>0.05</v>
      </c>
      <c r="I20" s="391">
        <v>0.2</v>
      </c>
      <c r="J20" s="392">
        <v>1</v>
      </c>
      <c r="K20" s="392">
        <v>3</v>
      </c>
      <c r="L20" s="389">
        <v>1E-4</v>
      </c>
      <c r="M20" s="389">
        <v>2.9999999999999997E-4</v>
      </c>
      <c r="N20" s="390">
        <v>1</v>
      </c>
      <c r="O20" s="390">
        <v>3</v>
      </c>
      <c r="P20" s="393">
        <v>250</v>
      </c>
      <c r="Q20" s="382" t="s">
        <v>495</v>
      </c>
      <c r="R20" s="355">
        <v>-40</v>
      </c>
      <c r="S20" s="355">
        <v>125</v>
      </c>
      <c r="T20" s="358">
        <v>12500</v>
      </c>
      <c r="U20" s="358">
        <v>18000</v>
      </c>
      <c r="V20" s="385">
        <v>22000</v>
      </c>
      <c r="W20" s="359">
        <v>8.1999999999999993</v>
      </c>
      <c r="X20" s="394">
        <v>30</v>
      </c>
      <c r="Y20" s="345">
        <f t="shared" si="0"/>
        <v>14</v>
      </c>
      <c r="Z20" s="345">
        <f>IF(OR($AL$75=Devices[[#This Row],[Input Type]], 0=Devices[[#This Row],[Input Type]]),Devices[[#This Row],[Row Num]], " ")</f>
        <v>14</v>
      </c>
      <c r="AA20" s="345" t="str">
        <f>IF(OR($AL$76=Devices[[#This Row],[Input Type]], 0=Devices[[#This Row],[Input Type]]),Devices[[#This Row],[Row Num]], " ")</f>
        <v xml:space="preserve"> </v>
      </c>
      <c r="AB20" s="345" t="str">
        <f>IF(0=Devices[[#This Row],[Input Type]], Devices[[#This Row],[Row Num]], " ")</f>
        <v xml:space="preserve"> </v>
      </c>
      <c r="AC20" s="346">
        <f>IFERROR(SMALL(Devices[Row Sel D], Devices[[#This Row],[Row Num]]), " ")</f>
        <v>27</v>
      </c>
      <c r="AD20" s="346">
        <f>IFERROR(SMALL(Devices[Row Sel SE], Devices[[#This Row],[Row Num]]), " ")</f>
        <v>26</v>
      </c>
      <c r="AE20" s="346" t="str">
        <f>IFERROR(SMALL(Devices[Row Sel N], Devices[[#This Row],[Row Num]]), " ")</f>
        <v xml:space="preserve"> </v>
      </c>
      <c r="AF20" s="346" t="str">
        <f>IFERROR(INDEX(Devices[Part], Devices[[#This Row],[Sel D]], 1), "")</f>
        <v>AMC3301</v>
      </c>
      <c r="AG20" s="346" t="str">
        <f>IFERROR(INDEX(Devices[Part], Devices[[#This Row],[Sel SE]], 1), "")</f>
        <v>AMC1411</v>
      </c>
      <c r="AH20" s="346" t="str">
        <f>IFERROR(INDEX(Devices[Part], Devices[[#This Row],[Sel N]], 1), "")</f>
        <v/>
      </c>
      <c r="AJ20" s="347"/>
    </row>
    <row r="21" spans="1:36" ht="15" customHeight="1">
      <c r="A21" s="376" t="s">
        <v>72</v>
      </c>
      <c r="B21" s="349" t="s">
        <v>51</v>
      </c>
      <c r="C21" s="481" t="s">
        <v>51</v>
      </c>
      <c r="D21" s="378">
        <v>5.0000000000000001E-4</v>
      </c>
      <c r="E21" s="389">
        <v>3.0000000000000001E-3</v>
      </c>
      <c r="F21" s="390">
        <v>15</v>
      </c>
      <c r="G21" s="390">
        <v>60</v>
      </c>
      <c r="H21" s="391">
        <v>0.05</v>
      </c>
      <c r="I21" s="391">
        <v>0.2</v>
      </c>
      <c r="J21" s="392">
        <v>1</v>
      </c>
      <c r="K21" s="392">
        <v>4</v>
      </c>
      <c r="L21" s="389">
        <v>1E-4</v>
      </c>
      <c r="M21" s="389">
        <v>2.9999999999999997E-4</v>
      </c>
      <c r="N21" s="390">
        <v>1</v>
      </c>
      <c r="O21" s="390">
        <v>3</v>
      </c>
      <c r="P21" s="393">
        <v>250</v>
      </c>
      <c r="Q21" s="382" t="s">
        <v>495</v>
      </c>
      <c r="R21" s="355">
        <v>-55</v>
      </c>
      <c r="S21" s="355">
        <v>125</v>
      </c>
      <c r="T21" s="358">
        <v>12500</v>
      </c>
      <c r="U21" s="358">
        <v>18000</v>
      </c>
      <c r="V21" s="385">
        <v>22000</v>
      </c>
      <c r="W21" s="359">
        <v>8.1999999999999993</v>
      </c>
      <c r="X21" s="360">
        <v>30</v>
      </c>
      <c r="Y21" s="345">
        <f t="shared" si="0"/>
        <v>15</v>
      </c>
      <c r="Z21" s="345">
        <f>IF(OR($AL$75=Devices[[#This Row],[Input Type]], 0=Devices[[#This Row],[Input Type]]),Devices[[#This Row],[Row Num]], " ")</f>
        <v>15</v>
      </c>
      <c r="AA21" s="345" t="str">
        <f>IF(OR($AL$76=Devices[[#This Row],[Input Type]], 0=Devices[[#This Row],[Input Type]]),Devices[[#This Row],[Row Num]], " ")</f>
        <v xml:space="preserve"> </v>
      </c>
      <c r="AB21" s="345" t="str">
        <f>IF(0=Devices[[#This Row],[Input Type]], Devices[[#This Row],[Row Num]], " ")</f>
        <v xml:space="preserve"> </v>
      </c>
      <c r="AC21" s="346">
        <f>IFERROR(SMALL(Devices[Row Sel D], Devices[[#This Row],[Row Num]]), " ")</f>
        <v>28</v>
      </c>
      <c r="AD21" s="346">
        <f>IFERROR(SMALL(Devices[Row Sel SE], Devices[[#This Row],[Row Num]]), " ")</f>
        <v>33</v>
      </c>
      <c r="AE21" s="346" t="str">
        <f>IFERROR(SMALL(Devices[Row Sel N], Devices[[#This Row],[Row Num]]), " ")</f>
        <v xml:space="preserve"> </v>
      </c>
      <c r="AF21" s="346" t="str">
        <f>IFERROR(INDEX(Devices[Part], Devices[[#This Row],[Sel D]], 1), "")</f>
        <v>AMC3301-Q1</v>
      </c>
      <c r="AG21" s="346" t="str">
        <f>IFERROR(INDEX(Devices[Part], Devices[[#This Row],[Sel SE]], 1), "")</f>
        <v>ISO224A</v>
      </c>
      <c r="AH21" s="346" t="str">
        <f>IFERROR(INDEX(Devices[Part], Devices[[#This Row],[Sel N]], 1), "")</f>
        <v/>
      </c>
    </row>
    <row r="22" spans="1:36" ht="15" customHeight="1">
      <c r="A22" s="367" t="s">
        <v>16</v>
      </c>
      <c r="B22" s="339" t="s">
        <v>51</v>
      </c>
      <c r="C22" s="481" t="s">
        <v>51</v>
      </c>
      <c r="D22" s="389">
        <v>5.0000000000000001E-4</v>
      </c>
      <c r="E22" s="389">
        <v>3.0000000000000001E-3</v>
      </c>
      <c r="F22" s="390">
        <v>15</v>
      </c>
      <c r="G22" s="390">
        <v>50</v>
      </c>
      <c r="H22" s="391">
        <v>0.05</v>
      </c>
      <c r="I22" s="391">
        <v>0.2</v>
      </c>
      <c r="J22" s="392">
        <v>1</v>
      </c>
      <c r="K22" s="392">
        <v>3</v>
      </c>
      <c r="L22" s="389">
        <v>1E-4</v>
      </c>
      <c r="M22" s="389">
        <v>2.9999999999999997E-4</v>
      </c>
      <c r="N22" s="390">
        <v>1</v>
      </c>
      <c r="O22" s="390">
        <v>3</v>
      </c>
      <c r="P22" s="393">
        <v>250</v>
      </c>
      <c r="Q22" s="382" t="s">
        <v>495</v>
      </c>
      <c r="R22" s="355">
        <v>-40</v>
      </c>
      <c r="S22" s="355">
        <v>125</v>
      </c>
      <c r="T22" s="358">
        <v>12500</v>
      </c>
      <c r="U22" s="358">
        <v>18000</v>
      </c>
      <c r="V22" s="385">
        <v>22000</v>
      </c>
      <c r="W22" s="359">
        <v>8.1999999999999993</v>
      </c>
      <c r="X22" s="394">
        <v>30</v>
      </c>
      <c r="Y22" s="345">
        <f t="shared" si="0"/>
        <v>16</v>
      </c>
      <c r="Z22" s="345">
        <f>IF(OR($AL$75=Devices[[#This Row],[Input Type]], 0=Devices[[#This Row],[Input Type]]),Devices[[#This Row],[Row Num]], " ")</f>
        <v>16</v>
      </c>
      <c r="AA22" s="345" t="str">
        <f>IF(OR($AL$76=Devices[[#This Row],[Input Type]], 0=Devices[[#This Row],[Input Type]]),Devices[[#This Row],[Row Num]], " ")</f>
        <v xml:space="preserve"> </v>
      </c>
      <c r="AB22" s="345" t="str">
        <f>IF(0=Devices[[#This Row],[Input Type]], Devices[[#This Row],[Row Num]], " ")</f>
        <v xml:space="preserve"> </v>
      </c>
      <c r="AC22" s="346">
        <f>IFERROR(SMALL(Devices[Row Sel D], Devices[[#This Row],[Row Num]]), " ")</f>
        <v>29</v>
      </c>
      <c r="AD22" s="346">
        <f>IFERROR(SMALL(Devices[Row Sel SE], Devices[[#This Row],[Row Num]]), " ")</f>
        <v>34</v>
      </c>
      <c r="AE22" s="346" t="str">
        <f>IFERROR(SMALL(Devices[Row Sel N], Devices[[#This Row],[Row Num]]), " ")</f>
        <v xml:space="preserve"> </v>
      </c>
      <c r="AF22" s="346" t="str">
        <f>IFERROR(INDEX(Devices[Part], Devices[[#This Row],[Sel D]], 1), "")</f>
        <v>AMC3302</v>
      </c>
      <c r="AG22" s="346" t="str">
        <f>IFERROR(INDEX(Devices[Part], Devices[[#This Row],[Sel SE]], 1), "")</f>
        <v>ISO224B</v>
      </c>
      <c r="AH22" s="346" t="str">
        <f>IFERROR(INDEX(Devices[Part], Devices[[#This Row],[Sel N]], 1), "")</f>
        <v/>
      </c>
    </row>
    <row r="23" spans="1:36" ht="15" customHeight="1">
      <c r="A23" s="395" t="s">
        <v>15</v>
      </c>
      <c r="B23" s="339" t="s">
        <v>51</v>
      </c>
      <c r="C23" s="481" t="s">
        <v>51</v>
      </c>
      <c r="D23" s="378">
        <v>4.0000000000000002E-4</v>
      </c>
      <c r="E23" s="396">
        <v>2E-3</v>
      </c>
      <c r="F23" s="351">
        <v>3</v>
      </c>
      <c r="G23" s="351">
        <v>35</v>
      </c>
      <c r="H23" s="397">
        <v>2.5000000000000001E-3</v>
      </c>
      <c r="I23" s="398">
        <v>0.05</v>
      </c>
      <c r="J23" s="399">
        <v>0.15</v>
      </c>
      <c r="K23" s="399">
        <v>0.8</v>
      </c>
      <c r="L23" s="396">
        <v>1E-4</v>
      </c>
      <c r="M23" s="396">
        <v>2.9999999999999997E-4</v>
      </c>
      <c r="N23" s="400">
        <v>1</v>
      </c>
      <c r="O23" s="400">
        <v>3</v>
      </c>
      <c r="P23" s="401">
        <v>50</v>
      </c>
      <c r="Q23" s="401" t="s">
        <v>495</v>
      </c>
      <c r="R23" s="383">
        <v>-55</v>
      </c>
      <c r="S23" s="383">
        <v>125</v>
      </c>
      <c r="T23" s="358">
        <v>2500</v>
      </c>
      <c r="U23" s="402">
        <v>4750</v>
      </c>
      <c r="V23" s="356">
        <v>4900</v>
      </c>
      <c r="W23" s="403">
        <v>41</v>
      </c>
      <c r="X23" s="404">
        <v>36</v>
      </c>
      <c r="Y23" s="345">
        <f t="shared" si="0"/>
        <v>17</v>
      </c>
      <c r="Z23" s="345">
        <f>IF(OR($AL$75=Devices[[#This Row],[Input Type]], 0=Devices[[#This Row],[Input Type]]),Devices[[#This Row],[Row Num]], " ")</f>
        <v>17</v>
      </c>
      <c r="AA23" s="345" t="str">
        <f>IF(OR($AL$76=Devices[[#This Row],[Input Type]], 0=Devices[[#This Row],[Input Type]]),Devices[[#This Row],[Row Num]], " ")</f>
        <v xml:space="preserve"> </v>
      </c>
      <c r="AB23" s="345" t="str">
        <f>IF(0=Devices[[#This Row],[Input Type]], Devices[[#This Row],[Row Num]], " ")</f>
        <v xml:space="preserve"> </v>
      </c>
      <c r="AC23" s="346">
        <f>IFERROR(SMALL(Devices[Row Sel D], Devices[[#This Row],[Row Num]]), " ")</f>
        <v>30</v>
      </c>
      <c r="AD23" s="346">
        <f>IFERROR(SMALL(Devices[Row Sel SE], Devices[[#This Row],[Row Num]]), " ")</f>
        <v>35</v>
      </c>
      <c r="AE23" s="346" t="str">
        <f>IFERROR(SMALL(Devices[Row Sel N], Devices[[#This Row],[Row Num]]), " ")</f>
        <v xml:space="preserve"> </v>
      </c>
      <c r="AF23" s="346" t="str">
        <f>IFERROR(INDEX(Devices[Part], Devices[[#This Row],[Sel D]], 1), "")</f>
        <v>AMC3302-Q1</v>
      </c>
      <c r="AG23" s="346" t="str">
        <f>IFERROR(INDEX(Devices[Part], Devices[[#This Row],[Sel SE]], 1), "")</f>
        <v>AMC0381D-Q1</v>
      </c>
      <c r="AH23" s="346" t="str">
        <f>IFERROR(INDEX(Devices[Part], Devices[[#This Row],[Sel N]], 1), "")</f>
        <v/>
      </c>
      <c r="AJ23" s="347"/>
    </row>
    <row r="24" spans="1:36" ht="15" customHeight="1">
      <c r="A24" s="348" t="s">
        <v>109</v>
      </c>
      <c r="B24" s="339" t="s">
        <v>51</v>
      </c>
      <c r="C24" s="481" t="s">
        <v>51</v>
      </c>
      <c r="D24" s="378">
        <v>4.0000000000000002E-4</v>
      </c>
      <c r="E24" s="396">
        <v>2E-3</v>
      </c>
      <c r="F24" s="351">
        <v>3</v>
      </c>
      <c r="G24" s="351">
        <v>35</v>
      </c>
      <c r="H24" s="397">
        <v>2.5000000000000001E-3</v>
      </c>
      <c r="I24" s="398">
        <v>0.05</v>
      </c>
      <c r="J24" s="399">
        <v>0.15</v>
      </c>
      <c r="K24" s="399">
        <v>0.8</v>
      </c>
      <c r="L24" s="396">
        <v>1E-4</v>
      </c>
      <c r="M24" s="396">
        <v>2.9999999999999997E-4</v>
      </c>
      <c r="N24" s="400">
        <v>1</v>
      </c>
      <c r="O24" s="400">
        <v>3</v>
      </c>
      <c r="P24" s="401">
        <v>50</v>
      </c>
      <c r="Q24" s="401" t="s">
        <v>495</v>
      </c>
      <c r="R24" s="383">
        <v>-55</v>
      </c>
      <c r="S24" s="383">
        <v>125</v>
      </c>
      <c r="T24" s="358">
        <v>2500</v>
      </c>
      <c r="U24" s="402">
        <v>4750</v>
      </c>
      <c r="V24" s="356">
        <v>4900</v>
      </c>
      <c r="W24" s="403">
        <v>41</v>
      </c>
      <c r="X24" s="404">
        <v>36</v>
      </c>
      <c r="Y24" s="345">
        <f t="shared" si="0"/>
        <v>18</v>
      </c>
      <c r="Z24" s="345">
        <f>IF(OR($AL$75=Devices[[#This Row],[Input Type]], 0=Devices[[#This Row],[Input Type]]),Devices[[#This Row],[Row Num]], " ")</f>
        <v>18</v>
      </c>
      <c r="AA24" s="345" t="str">
        <f>IF(OR($AL$76=Devices[[#This Row],[Input Type]], 0=Devices[[#This Row],[Input Type]]),Devices[[#This Row],[Row Num]], " ")</f>
        <v xml:space="preserve"> </v>
      </c>
      <c r="AB24" s="345" t="str">
        <f>IF(0=Devices[[#This Row],[Input Type]], Devices[[#This Row],[Row Num]], " ")</f>
        <v xml:space="preserve"> </v>
      </c>
      <c r="AC24" s="346">
        <f>IFERROR(SMALL(Devices[Row Sel D], Devices[[#This Row],[Row Num]]), " ")</f>
        <v>31</v>
      </c>
      <c r="AD24" s="346">
        <f>IFERROR(SMALL(Devices[Row Sel SE], Devices[[#This Row],[Row Num]]), " ")</f>
        <v>36</v>
      </c>
      <c r="AE24" s="346" t="str">
        <f>IFERROR(SMALL(Devices[Row Sel N], Devices[[#This Row],[Row Num]]), " ")</f>
        <v xml:space="preserve"> </v>
      </c>
      <c r="AF24" s="346" t="str">
        <f>IFERROR(INDEX(Devices[Part], Devices[[#This Row],[Sel D]], 1), "")</f>
        <v>AMC3330</v>
      </c>
      <c r="AG24" s="346" t="str">
        <f>IFERROR(INDEX(Devices[Part], Devices[[#This Row],[Sel SE]], 1), "")</f>
        <v>ADuM4195-1</v>
      </c>
      <c r="AH24" s="346" t="str">
        <f>IFERROR(INDEX(Devices[Part], Devices[[#This Row],[Sel N]], 1), "")</f>
        <v/>
      </c>
    </row>
    <row r="25" spans="1:36" ht="15" customHeight="1">
      <c r="A25" s="405" t="s">
        <v>44</v>
      </c>
      <c r="B25" s="349" t="s">
        <v>52</v>
      </c>
      <c r="C25" s="481" t="s">
        <v>51</v>
      </c>
      <c r="D25" s="406">
        <v>4.0000000000000001E-3</v>
      </c>
      <c r="E25" s="406">
        <v>0.01</v>
      </c>
      <c r="F25" s="407">
        <v>30</v>
      </c>
      <c r="G25" s="407">
        <v>90</v>
      </c>
      <c r="H25" s="408">
        <v>0.4</v>
      </c>
      <c r="I25" s="409">
        <v>9.9</v>
      </c>
      <c r="J25" s="410">
        <v>20</v>
      </c>
      <c r="K25" s="410">
        <v>60</v>
      </c>
      <c r="L25" s="406">
        <v>1E-4</v>
      </c>
      <c r="M25" s="406">
        <v>4.0000000000000002E-4</v>
      </c>
      <c r="N25" s="407">
        <v>1</v>
      </c>
      <c r="O25" s="407">
        <v>3</v>
      </c>
      <c r="P25" s="411">
        <v>2000</v>
      </c>
      <c r="Q25" s="482" t="s">
        <v>496</v>
      </c>
      <c r="R25" s="388">
        <v>-40</v>
      </c>
      <c r="S25" s="388">
        <v>125</v>
      </c>
      <c r="T25" s="412"/>
      <c r="U25" s="413">
        <v>1000000000</v>
      </c>
      <c r="V25" s="413">
        <v>1000000000</v>
      </c>
      <c r="W25" s="364">
        <v>1</v>
      </c>
      <c r="X25" s="365">
        <v>3.5000000000000001E-3</v>
      </c>
      <c r="Y25" s="366">
        <f>ROW()-6</f>
        <v>19</v>
      </c>
      <c r="Z25" s="366" t="str">
        <f>IF(OR($AL$75=Devices[[#This Row],[Input Type]], 0=Devices[[#This Row],[Input Type]]),Devices[[#This Row],[Row Num]], " ")</f>
        <v xml:space="preserve"> </v>
      </c>
      <c r="AA25" s="366">
        <f>IF(OR($AL$76=Devices[[#This Row],[Input Type]], 0=Devices[[#This Row],[Input Type]]),Devices[[#This Row],[Row Num]], " ")</f>
        <v>19</v>
      </c>
      <c r="AB25" s="366" t="str">
        <f>IF(0=Devices[[#This Row],[Input Type]], Devices[[#This Row],[Row Num]], " ")</f>
        <v xml:space="preserve"> </v>
      </c>
      <c r="AC25" s="366">
        <f>IFERROR(SMALL(Devices[Row Sel D], Devices[[#This Row],[Row Num]]), " ")</f>
        <v>32</v>
      </c>
      <c r="AD25" s="366">
        <f>IFERROR(SMALL(Devices[Row Sel SE], Devices[[#This Row],[Row Num]]), " ")</f>
        <v>58</v>
      </c>
      <c r="AE25" s="366" t="str">
        <f>IFERROR(SMALL(Devices[Row Sel N], Devices[[#This Row],[Row Num]]), " ")</f>
        <v xml:space="preserve"> </v>
      </c>
      <c r="AF25" s="366" t="str">
        <f>IFERROR(INDEX(Devices[Part], Devices[[#This Row],[Sel D]], 1), "")</f>
        <v>AMC3330-Q1</v>
      </c>
      <c r="AG25" s="366">
        <f>IFERROR(INDEX(Devices[Part], Devices[[#This Row],[Sel SE]], 1), "")</f>
        <v>0</v>
      </c>
      <c r="AH25" s="366" t="str">
        <f>IFERROR(INDEX(Devices[Part], Devices[[#This Row],[Sel N]], 1), "")</f>
        <v/>
      </c>
    </row>
    <row r="26" spans="1:36" ht="15" customHeight="1">
      <c r="A26" s="414" t="s">
        <v>74</v>
      </c>
      <c r="B26" s="349" t="s">
        <v>52</v>
      </c>
      <c r="C26" s="481" t="s">
        <v>51</v>
      </c>
      <c r="D26" s="378">
        <v>5.0000000000000001E-4</v>
      </c>
      <c r="E26" s="389">
        <v>2E-3</v>
      </c>
      <c r="F26" s="390">
        <v>5</v>
      </c>
      <c r="G26" s="390">
        <v>40</v>
      </c>
      <c r="H26" s="415">
        <v>0.4</v>
      </c>
      <c r="I26" s="391">
        <v>1.5</v>
      </c>
      <c r="J26" s="392">
        <v>3</v>
      </c>
      <c r="K26" s="392">
        <v>10</v>
      </c>
      <c r="L26" s="389">
        <v>1E-4</v>
      </c>
      <c r="M26" s="389">
        <v>4.0000000000000002E-4</v>
      </c>
      <c r="N26" s="390">
        <v>1</v>
      </c>
      <c r="O26" s="390">
        <v>3</v>
      </c>
      <c r="P26" s="393">
        <v>2000</v>
      </c>
      <c r="Q26" s="382" t="s">
        <v>496</v>
      </c>
      <c r="R26" s="355">
        <v>-55</v>
      </c>
      <c r="S26" s="355">
        <v>125</v>
      </c>
      <c r="T26" s="357"/>
      <c r="U26" s="358">
        <v>1000000000</v>
      </c>
      <c r="V26" s="358">
        <v>1000000000</v>
      </c>
      <c r="W26" s="416">
        <v>1</v>
      </c>
      <c r="X26" s="417">
        <v>3.5000000000000001E-3</v>
      </c>
      <c r="Y26" s="366">
        <f>ROW()-6</f>
        <v>20</v>
      </c>
      <c r="Z26" s="366" t="str">
        <f>IF(OR($AL$75=Devices[[#This Row],[Input Type]], 0=Devices[[#This Row],[Input Type]]),Devices[[#This Row],[Row Num]], " ")</f>
        <v xml:space="preserve"> </v>
      </c>
      <c r="AA26" s="366">
        <f>IF(OR($AL$76=Devices[[#This Row],[Input Type]], 0=Devices[[#This Row],[Input Type]]),Devices[[#This Row],[Row Num]], " ")</f>
        <v>20</v>
      </c>
      <c r="AB26" s="366" t="str">
        <f>IF(0=Devices[[#This Row],[Input Type]], Devices[[#This Row],[Row Num]], " ")</f>
        <v xml:space="preserve"> </v>
      </c>
      <c r="AC26" s="366">
        <f>IFERROR(SMALL(Devices[Row Sel D], Devices[[#This Row],[Row Num]]), " ")</f>
        <v>37</v>
      </c>
      <c r="AD26" s="366">
        <f>IFERROR(SMALL(Devices[Row Sel SE], Devices[[#This Row],[Row Num]]), " ")</f>
        <v>59</v>
      </c>
      <c r="AE26" s="366" t="str">
        <f>IFERROR(SMALL(Devices[Row Sel N], Devices[[#This Row],[Row Num]]), " ")</f>
        <v xml:space="preserve"> </v>
      </c>
      <c r="AF26" s="366" t="str">
        <f>IFERROR(INDEX(Devices[Part], Devices[[#This Row],[Sel D]], 1), "")</f>
        <v>ACPLC797-500E</v>
      </c>
      <c r="AG26" s="366">
        <f>IFERROR(INDEX(Devices[Part], Devices[[#This Row],[Sel SE]], 1), "")</f>
        <v>0</v>
      </c>
      <c r="AH26" s="366" t="str">
        <f>IFERROR(INDEX(Devices[Part], Devices[[#This Row],[Sel N]], 1), "")</f>
        <v/>
      </c>
      <c r="AJ26" s="347"/>
    </row>
    <row r="27" spans="1:36" ht="15" customHeight="1">
      <c r="A27" s="405" t="s">
        <v>45</v>
      </c>
      <c r="B27" s="349" t="s">
        <v>52</v>
      </c>
      <c r="C27" s="481" t="s">
        <v>51</v>
      </c>
      <c r="D27" s="418">
        <v>4.0000000000000001E-3</v>
      </c>
      <c r="E27" s="406">
        <v>0.01</v>
      </c>
      <c r="F27" s="407">
        <v>30</v>
      </c>
      <c r="G27" s="407">
        <v>90</v>
      </c>
      <c r="H27" s="408">
        <v>0.4</v>
      </c>
      <c r="I27" s="409">
        <v>9.9</v>
      </c>
      <c r="J27" s="410">
        <v>20</v>
      </c>
      <c r="K27" s="410">
        <v>60</v>
      </c>
      <c r="L27" s="406">
        <v>1E-4</v>
      </c>
      <c r="M27" s="406">
        <v>4.0000000000000002E-4</v>
      </c>
      <c r="N27" s="407">
        <v>1</v>
      </c>
      <c r="O27" s="407">
        <v>3</v>
      </c>
      <c r="P27" s="411">
        <v>2000</v>
      </c>
      <c r="Q27" s="482" t="s">
        <v>496</v>
      </c>
      <c r="R27" s="388">
        <v>-40</v>
      </c>
      <c r="S27" s="388">
        <v>125</v>
      </c>
      <c r="T27" s="412"/>
      <c r="U27" s="413">
        <v>1000000000</v>
      </c>
      <c r="V27" s="413">
        <v>1000000000</v>
      </c>
      <c r="W27" s="364">
        <v>1</v>
      </c>
      <c r="X27" s="365">
        <v>3.5000000000000001E-3</v>
      </c>
      <c r="Y27" s="366">
        <f>ROW()-6</f>
        <v>21</v>
      </c>
      <c r="Z27" s="366" t="str">
        <f>IF(OR($AL$75=Devices[[#This Row],[Input Type]], 0=Devices[[#This Row],[Input Type]]),Devices[[#This Row],[Row Num]], " ")</f>
        <v xml:space="preserve"> </v>
      </c>
      <c r="AA27" s="366">
        <f>IF(OR($AL$76=Devices[[#This Row],[Input Type]], 0=Devices[[#This Row],[Input Type]]),Devices[[#This Row],[Row Num]], " ")</f>
        <v>21</v>
      </c>
      <c r="AB27" s="366" t="str">
        <f>IF(0=Devices[[#This Row],[Input Type]], Devices[[#This Row],[Row Num]], " ")</f>
        <v xml:space="preserve"> </v>
      </c>
      <c r="AC27" s="366">
        <f>IFERROR(SMALL(Devices[Row Sel D], Devices[[#This Row],[Row Num]]), " ")</f>
        <v>38</v>
      </c>
      <c r="AD27" s="366">
        <f>IFERROR(SMALL(Devices[Row Sel SE], Devices[[#This Row],[Row Num]]), " ")</f>
        <v>60</v>
      </c>
      <c r="AE27" s="366" t="str">
        <f>IFERROR(SMALL(Devices[Row Sel N], Devices[[#This Row],[Row Num]]), " ")</f>
        <v xml:space="preserve"> </v>
      </c>
      <c r="AF27" s="366" t="str">
        <f>IFERROR(INDEX(Devices[Part], Devices[[#This Row],[Sel D]], 1), "")</f>
        <v>ACPL-78T</v>
      </c>
      <c r="AG27" s="366">
        <f>IFERROR(INDEX(Devices[Part], Devices[[#This Row],[Sel SE]], 1), "")</f>
        <v>0</v>
      </c>
      <c r="AH27" s="366" t="str">
        <f>IFERROR(INDEX(Devices[Part], Devices[[#This Row],[Sel N]], 1), "")</f>
        <v/>
      </c>
    </row>
    <row r="28" spans="1:36" ht="15" customHeight="1">
      <c r="A28" s="414" t="s">
        <v>75</v>
      </c>
      <c r="B28" s="349" t="s">
        <v>52</v>
      </c>
      <c r="C28" s="481" t="s">
        <v>51</v>
      </c>
      <c r="D28" s="378">
        <v>5.0000000000000001E-4</v>
      </c>
      <c r="E28" s="389">
        <v>2E-3</v>
      </c>
      <c r="F28" s="390">
        <v>5</v>
      </c>
      <c r="G28" s="390">
        <v>40</v>
      </c>
      <c r="H28" s="415">
        <v>0.4</v>
      </c>
      <c r="I28" s="391">
        <v>1.5</v>
      </c>
      <c r="J28" s="392">
        <v>3</v>
      </c>
      <c r="K28" s="392">
        <v>10</v>
      </c>
      <c r="L28" s="389">
        <v>1E-4</v>
      </c>
      <c r="M28" s="389">
        <v>4.0000000000000002E-4</v>
      </c>
      <c r="N28" s="390">
        <v>1</v>
      </c>
      <c r="O28" s="390">
        <v>3</v>
      </c>
      <c r="P28" s="393">
        <v>2000</v>
      </c>
      <c r="Q28" s="382" t="s">
        <v>497</v>
      </c>
      <c r="R28" s="355">
        <v>-40</v>
      </c>
      <c r="S28" s="355">
        <v>125</v>
      </c>
      <c r="T28" s="357"/>
      <c r="U28" s="413">
        <v>1000000000</v>
      </c>
      <c r="V28" s="413">
        <v>1000000000</v>
      </c>
      <c r="W28" s="364">
        <v>1</v>
      </c>
      <c r="X28" s="365">
        <v>3.5000000000000001E-3</v>
      </c>
      <c r="Y28" s="366">
        <f>ROW()-6</f>
        <v>22</v>
      </c>
      <c r="Z28" s="366" t="str">
        <f>IF(OR($AL$75=Devices[[#This Row],[Input Type]], 0=Devices[[#This Row],[Input Type]]),Devices[[#This Row],[Row Num]], " ")</f>
        <v xml:space="preserve"> </v>
      </c>
      <c r="AA28" s="366">
        <f>IF(OR($AL$76=Devices[[#This Row],[Input Type]], 0=Devices[[#This Row],[Input Type]]),Devices[[#This Row],[Row Num]], " ")</f>
        <v>22</v>
      </c>
      <c r="AB28" s="366" t="str">
        <f>IF(0=Devices[[#This Row],[Input Type]], Devices[[#This Row],[Row Num]], " ")</f>
        <v xml:space="preserve"> </v>
      </c>
      <c r="AC28" s="366">
        <f>IFERROR(SMALL(Devices[Row Sel D], Devices[[#This Row],[Row Num]]), " ")</f>
        <v>39</v>
      </c>
      <c r="AD28" s="366">
        <f>IFERROR(SMALL(Devices[Row Sel SE], Devices[[#This Row],[Row Num]]), " ")</f>
        <v>61</v>
      </c>
      <c r="AE28" s="366" t="str">
        <f>IFERROR(SMALL(Devices[Row Sel N], Devices[[#This Row],[Row Num]]), " ")</f>
        <v xml:space="preserve"> </v>
      </c>
      <c r="AF28" s="366" t="str">
        <f>IFERROR(INDEX(Devices[Part], Devices[[#This Row],[Sel D]], 1), "")</f>
        <v>TLP7820B</v>
      </c>
      <c r="AG28" s="366">
        <f>IFERROR(INDEX(Devices[Part], Devices[[#This Row],[Sel SE]], 1), "")</f>
        <v>0</v>
      </c>
      <c r="AH28" s="366" t="str">
        <f>IFERROR(INDEX(Devices[Part], Devices[[#This Row],[Sel N]], 1), "")</f>
        <v/>
      </c>
    </row>
    <row r="29" spans="1:36" ht="15" customHeight="1">
      <c r="A29" s="387" t="s">
        <v>220</v>
      </c>
      <c r="B29" s="349" t="s">
        <v>51</v>
      </c>
      <c r="C29" s="481" t="s">
        <v>51</v>
      </c>
      <c r="D29" s="350">
        <v>5.0000000000000001E-4</v>
      </c>
      <c r="E29" s="350">
        <v>2E-3</v>
      </c>
      <c r="F29" s="351">
        <v>10</v>
      </c>
      <c r="G29" s="351">
        <v>35</v>
      </c>
      <c r="H29" s="352">
        <v>0.4</v>
      </c>
      <c r="I29" s="352">
        <v>1.5</v>
      </c>
      <c r="J29" s="353">
        <v>3</v>
      </c>
      <c r="K29" s="353">
        <v>10</v>
      </c>
      <c r="L29" s="350">
        <v>3.0000000000000001E-5</v>
      </c>
      <c r="M29" s="350">
        <v>1E-4</v>
      </c>
      <c r="N29" s="351">
        <v>1</v>
      </c>
      <c r="O29" s="351">
        <v>3</v>
      </c>
      <c r="P29" s="354">
        <v>5000</v>
      </c>
      <c r="Q29" s="482" t="s">
        <v>496</v>
      </c>
      <c r="R29" s="388">
        <v>-40</v>
      </c>
      <c r="S29" s="388">
        <v>125</v>
      </c>
      <c r="T29" s="356"/>
      <c r="U29" s="356">
        <v>1250000</v>
      </c>
      <c r="V29" s="385">
        <v>2500000</v>
      </c>
      <c r="W29" s="419">
        <v>0.4</v>
      </c>
      <c r="X29" s="420">
        <v>0</v>
      </c>
      <c r="Y29" s="345">
        <f t="shared" si="0"/>
        <v>23</v>
      </c>
      <c r="Z29" s="345">
        <f>IF(OR($AL$75=Devices[[#This Row],[Input Type]], 0=Devices[[#This Row],[Input Type]]),Devices[[#This Row],[Row Num]], " ")</f>
        <v>23</v>
      </c>
      <c r="AA29" s="345" t="str">
        <f>IF(OR($AL$76=Devices[[#This Row],[Input Type]], 0=Devices[[#This Row],[Input Type]]),Devices[[#This Row],[Row Num]], " ")</f>
        <v xml:space="preserve"> </v>
      </c>
      <c r="AB29" s="345" t="str">
        <f>IF(0=Devices[[#This Row],[Input Type]], Devices[[#This Row],[Row Num]], " ")</f>
        <v xml:space="preserve"> </v>
      </c>
      <c r="AC29" s="346">
        <f>IFERROR(SMALL(Devices[Row Sel D], Devices[[#This Row],[Row Num]]), " ")</f>
        <v>40</v>
      </c>
      <c r="AD29" s="346">
        <f>IFERROR(SMALL(Devices[Row Sel SE], Devices[[#This Row],[Row Num]]), " ")</f>
        <v>62</v>
      </c>
      <c r="AE29" s="361" t="str">
        <f>IFERROR(SMALL(Devices[Row Sel N], Devices[[#This Row],[Row Num]]), " ")</f>
        <v xml:space="preserve"> </v>
      </c>
      <c r="AF29" s="346" t="str">
        <f>IFERROR(INDEX(Devices[Part], Devices[[#This Row],[Sel D]], 1), "")</f>
        <v>TLP7820A</v>
      </c>
      <c r="AG29" s="346">
        <f>IFERROR(INDEX(Devices[Part], Devices[[#This Row],[Sel SE]], 1), "")</f>
        <v>0</v>
      </c>
      <c r="AH29" s="346" t="str">
        <f>IFERROR(INDEX(Devices[Part], Devices[[#This Row],[Sel N]], 1), "")</f>
        <v/>
      </c>
      <c r="AJ29" s="347"/>
    </row>
    <row r="30" spans="1:36" ht="15" customHeight="1">
      <c r="A30" s="348" t="s">
        <v>221</v>
      </c>
      <c r="B30" s="349" t="s">
        <v>52</v>
      </c>
      <c r="C30" s="481" t="s">
        <v>51</v>
      </c>
      <c r="D30" s="350">
        <v>5.0000000000000001E-4</v>
      </c>
      <c r="E30" s="350">
        <v>2E-3</v>
      </c>
      <c r="F30" s="351">
        <v>10</v>
      </c>
      <c r="G30" s="351">
        <v>35</v>
      </c>
      <c r="H30" s="352">
        <v>0.4</v>
      </c>
      <c r="I30" s="352">
        <v>1.5</v>
      </c>
      <c r="J30" s="353">
        <v>3</v>
      </c>
      <c r="K30" s="353">
        <v>10</v>
      </c>
      <c r="L30" s="350">
        <v>3.0000000000000001E-5</v>
      </c>
      <c r="M30" s="350">
        <v>1E-4</v>
      </c>
      <c r="N30" s="351">
        <v>1</v>
      </c>
      <c r="O30" s="351">
        <v>3</v>
      </c>
      <c r="P30" s="354">
        <v>5000</v>
      </c>
      <c r="Q30" s="354" t="s">
        <v>496</v>
      </c>
      <c r="R30" s="355">
        <v>-40</v>
      </c>
      <c r="S30" s="355">
        <v>125</v>
      </c>
      <c r="T30" s="356"/>
      <c r="U30" s="356">
        <v>1250000</v>
      </c>
      <c r="V30" s="419">
        <v>2500000</v>
      </c>
      <c r="W30" s="419">
        <v>0.4</v>
      </c>
      <c r="X30" s="420">
        <v>0</v>
      </c>
      <c r="Y30" s="366">
        <f>ROW()-6</f>
        <v>24</v>
      </c>
      <c r="Z30" s="366" t="str">
        <f>IF(OR($AL$75=Devices[[#This Row],[Input Type]], 0=Devices[[#This Row],[Input Type]]),Devices[[#This Row],[Row Num]], " ")</f>
        <v xml:space="preserve"> </v>
      </c>
      <c r="AA30" s="366">
        <f>IF(OR($AL$76=Devices[[#This Row],[Input Type]], 0=Devices[[#This Row],[Input Type]]),Devices[[#This Row],[Row Num]], " ")</f>
        <v>24</v>
      </c>
      <c r="AB30" s="366" t="str">
        <f>IF(0=Devices[[#This Row],[Input Type]], Devices[[#This Row],[Row Num]], " ")</f>
        <v xml:space="preserve"> </v>
      </c>
      <c r="AC30" s="366">
        <f>IFERROR(SMALL(Devices[Row Sel D], Devices[[#This Row],[Row Num]]), " ")</f>
        <v>41</v>
      </c>
      <c r="AD30" s="366">
        <f>IFERROR(SMALL(Devices[Row Sel SE], Devices[[#This Row],[Row Num]]), " ")</f>
        <v>63</v>
      </c>
      <c r="AE30" s="366" t="str">
        <f>IFERROR(SMALL(Devices[Row Sel N], Devices[[#This Row],[Row Num]]), " ")</f>
        <v xml:space="preserve"> </v>
      </c>
      <c r="AF30" s="366" t="str">
        <f>IFERROR(INDEX(Devices[Part], Devices[[#This Row],[Sel D]], 1), "")</f>
        <v>TLP7820</v>
      </c>
      <c r="AG30" s="366">
        <f>IFERROR(INDEX(Devices[Part], Devices[[#This Row],[Sel SE]], 1), "")</f>
        <v>0</v>
      </c>
      <c r="AH30" s="366" t="str">
        <f>IFERROR(INDEX(Devices[Part], Devices[[#This Row],[Sel N]], 1), "")</f>
        <v/>
      </c>
    </row>
    <row r="31" spans="1:36" ht="15" customHeight="1">
      <c r="A31" s="348" t="s">
        <v>219</v>
      </c>
      <c r="B31" s="339" t="s">
        <v>51</v>
      </c>
      <c r="C31" s="481" t="s">
        <v>51</v>
      </c>
      <c r="D31" s="378">
        <v>4.0000000000000002E-4</v>
      </c>
      <c r="E31" s="378">
        <v>3.0000000000000001E-3</v>
      </c>
      <c r="F31" s="379">
        <v>5</v>
      </c>
      <c r="G31" s="379">
        <v>30</v>
      </c>
      <c r="H31" s="380">
        <v>0.01</v>
      </c>
      <c r="I31" s="380">
        <v>0.2</v>
      </c>
      <c r="J31" s="381">
        <v>0.1</v>
      </c>
      <c r="K31" s="381">
        <v>0.9</v>
      </c>
      <c r="L31" s="378">
        <v>1E-4</v>
      </c>
      <c r="M31" s="378">
        <v>2.9999999999999997E-4</v>
      </c>
      <c r="N31" s="379">
        <v>0.4</v>
      </c>
      <c r="O31" s="379">
        <v>1.2</v>
      </c>
      <c r="P31" s="382">
        <v>250</v>
      </c>
      <c r="Q31" s="401" t="s">
        <v>495</v>
      </c>
      <c r="R31" s="388">
        <v>-40</v>
      </c>
      <c r="S31" s="388">
        <v>125</v>
      </c>
      <c r="T31" s="357">
        <v>12500</v>
      </c>
      <c r="U31" s="357">
        <v>19000</v>
      </c>
      <c r="V31" s="356">
        <v>22000</v>
      </c>
      <c r="W31" s="359">
        <v>8.1999999999999993</v>
      </c>
      <c r="X31" s="360">
        <v>30</v>
      </c>
      <c r="Y31" s="366">
        <f>ROW()-6</f>
        <v>25</v>
      </c>
      <c r="Z31" s="366">
        <f>IF(OR($AL$75=Devices[[#This Row],[Input Type]], 0=Devices[[#This Row],[Input Type]]),Devices[[#This Row],[Row Num]], " ")</f>
        <v>25</v>
      </c>
      <c r="AA31" s="366" t="str">
        <f>IF(OR($AL$76=Devices[[#This Row],[Input Type]], 0=Devices[[#This Row],[Input Type]]),Devices[[#This Row],[Row Num]], " ")</f>
        <v xml:space="preserve"> </v>
      </c>
      <c r="AB31" s="366" t="str">
        <f>IF(0=Devices[[#This Row],[Input Type]], Devices[[#This Row],[Row Num]], " ")</f>
        <v xml:space="preserve"> </v>
      </c>
      <c r="AC31" s="366">
        <f>IFERROR(SMALL(Devices[Row Sel D], Devices[[#This Row],[Row Num]]), " ")</f>
        <v>42</v>
      </c>
      <c r="AD31" s="366">
        <f>IFERROR(SMALL(Devices[Row Sel SE], Devices[[#This Row],[Row Num]]), " ")</f>
        <v>64</v>
      </c>
      <c r="AE31" s="366" t="str">
        <f>IFERROR(SMALL(Devices[Row Sel N], Devices[[#This Row],[Row Num]]), " ")</f>
        <v xml:space="preserve"> </v>
      </c>
      <c r="AF31" s="366" t="str">
        <f>IFERROR(INDEX(Devices[Part], Devices[[#This Row],[Sel D]], 1), "")</f>
        <v>Si8920A</v>
      </c>
      <c r="AG31" s="366">
        <f>IFERROR(INDEX(Devices[Part], Devices[[#This Row],[Sel SE]], 1), "")</f>
        <v>0</v>
      </c>
      <c r="AH31" s="366" t="str">
        <f>IFERROR(INDEX(Devices[Part], Devices[[#This Row],[Sel N]], 1), "")</f>
        <v/>
      </c>
    </row>
    <row r="32" spans="1:36" ht="15" customHeight="1">
      <c r="A32" s="348" t="s">
        <v>218</v>
      </c>
      <c r="B32" s="339" t="s">
        <v>52</v>
      </c>
      <c r="C32" s="481" t="s">
        <v>51</v>
      </c>
      <c r="D32" s="350">
        <v>5.0000000000000001E-4</v>
      </c>
      <c r="E32" s="350">
        <v>2E-3</v>
      </c>
      <c r="F32" s="351">
        <v>5</v>
      </c>
      <c r="G32" s="351">
        <v>40</v>
      </c>
      <c r="H32" s="352">
        <v>0.4</v>
      </c>
      <c r="I32" s="352">
        <v>1.5</v>
      </c>
      <c r="J32" s="353">
        <v>3</v>
      </c>
      <c r="K32" s="353">
        <v>10</v>
      </c>
      <c r="L32" s="350">
        <v>1E-4</v>
      </c>
      <c r="M32" s="350">
        <v>4.0000000000000002E-4</v>
      </c>
      <c r="N32" s="351">
        <v>1</v>
      </c>
      <c r="O32" s="351">
        <v>3</v>
      </c>
      <c r="P32" s="354">
        <v>2000</v>
      </c>
      <c r="Q32" s="482" t="s">
        <v>496</v>
      </c>
      <c r="R32" s="388">
        <v>-40</v>
      </c>
      <c r="S32" s="388">
        <v>125</v>
      </c>
      <c r="T32" s="356"/>
      <c r="U32" s="413">
        <v>1000000000</v>
      </c>
      <c r="V32" s="413">
        <v>1000000000</v>
      </c>
      <c r="W32" s="364">
        <v>1</v>
      </c>
      <c r="X32" s="365">
        <v>3.5000000000000001E-3</v>
      </c>
      <c r="Y32" s="366">
        <f>ROW()-6</f>
        <v>26</v>
      </c>
      <c r="Z32" s="366" t="str">
        <f>IF(OR($AL$75=Devices[[#This Row],[Input Type]], 0=Devices[[#This Row],[Input Type]]),Devices[[#This Row],[Row Num]], " ")</f>
        <v xml:space="preserve"> </v>
      </c>
      <c r="AA32" s="366">
        <f>IF(OR($AL$76=Devices[[#This Row],[Input Type]], 0=Devices[[#This Row],[Input Type]]),Devices[[#This Row],[Row Num]], " ")</f>
        <v>26</v>
      </c>
      <c r="AB32" s="366" t="str">
        <f>IF(0=Devices[[#This Row],[Input Type]], Devices[[#This Row],[Row Num]], " ")</f>
        <v xml:space="preserve"> </v>
      </c>
      <c r="AC32" s="366">
        <f>IFERROR(SMALL(Devices[Row Sel D], Devices[[#This Row],[Row Num]]), " ")</f>
        <v>43</v>
      </c>
      <c r="AD32" s="366">
        <f>IFERROR(SMALL(Devices[Row Sel SE], Devices[[#This Row],[Row Num]]), " ")</f>
        <v>65</v>
      </c>
      <c r="AE32" s="366" t="str">
        <f>IFERROR(SMALL(Devices[Row Sel N], Devices[[#This Row],[Row Num]]), " ")</f>
        <v xml:space="preserve"> </v>
      </c>
      <c r="AF32" s="366" t="str">
        <f>IFERROR(INDEX(Devices[Part], Devices[[#This Row],[Sel D]], 1), "")</f>
        <v>Si8920B</v>
      </c>
      <c r="AG32" s="366">
        <f>IFERROR(INDEX(Devices[Part], Devices[[#This Row],[Sel SE]], 1), "")</f>
        <v>0</v>
      </c>
      <c r="AH32" s="366" t="str">
        <f>IFERROR(INDEX(Devices[Part], Devices[[#This Row],[Sel N]], 1), "")</f>
        <v/>
      </c>
      <c r="AJ32" s="347"/>
    </row>
    <row r="33" spans="1:36" ht="15" customHeight="1">
      <c r="A33" s="405" t="s">
        <v>46</v>
      </c>
      <c r="B33" s="421" t="s">
        <v>51</v>
      </c>
      <c r="C33" s="481" t="s">
        <v>51</v>
      </c>
      <c r="D33" s="418">
        <v>1E-3</v>
      </c>
      <c r="E33" s="406">
        <v>4.0000000000000001E-3</v>
      </c>
      <c r="F33" s="407">
        <v>20</v>
      </c>
      <c r="G33" s="407">
        <v>60</v>
      </c>
      <c r="H33" s="409">
        <v>0.03</v>
      </c>
      <c r="I33" s="409">
        <v>0.2</v>
      </c>
      <c r="J33" s="410">
        <v>1.5</v>
      </c>
      <c r="K33" s="410">
        <v>5</v>
      </c>
      <c r="L33" s="406">
        <v>2.9999999999999997E-4</v>
      </c>
      <c r="M33" s="406">
        <v>7.5000000000000002E-4</v>
      </c>
      <c r="N33" s="407">
        <v>1</v>
      </c>
      <c r="O33" s="407">
        <v>3</v>
      </c>
      <c r="P33" s="411">
        <v>250</v>
      </c>
      <c r="Q33" s="482" t="s">
        <v>495</v>
      </c>
      <c r="R33" s="388">
        <v>-40</v>
      </c>
      <c r="S33" s="388">
        <v>125</v>
      </c>
      <c r="T33" s="412">
        <v>12500</v>
      </c>
      <c r="U33" s="413">
        <v>19000</v>
      </c>
      <c r="V33" s="385">
        <v>22000</v>
      </c>
      <c r="W33" s="364">
        <v>8.1999999999999993</v>
      </c>
      <c r="X33" s="422">
        <v>30</v>
      </c>
      <c r="Y33" s="345">
        <f t="shared" si="0"/>
        <v>27</v>
      </c>
      <c r="Z33" s="345">
        <f>IF(OR($AL$75=Devices[[#This Row],[Input Type]], 0=Devices[[#This Row],[Input Type]]),Devices[[#This Row],[Row Num]], " ")</f>
        <v>27</v>
      </c>
      <c r="AA33" s="345" t="str">
        <f>IF(OR($AL$76=Devices[[#This Row],[Input Type]], 0=Devices[[#This Row],[Input Type]]),Devices[[#This Row],[Row Num]], " ")</f>
        <v xml:space="preserve"> </v>
      </c>
      <c r="AB33" s="345" t="str">
        <f>IF(0=Devices[[#This Row],[Input Type]], Devices[[#This Row],[Row Num]], " ")</f>
        <v xml:space="preserve"> </v>
      </c>
      <c r="AC33" s="346">
        <f>IFERROR(SMALL(Devices[Row Sel D], Devices[[#This Row],[Row Num]]), " ")</f>
        <v>44</v>
      </c>
      <c r="AD33" s="346">
        <f>IFERROR(SMALL(Devices[Row Sel SE], Devices[[#This Row],[Row Num]]), " ")</f>
        <v>66</v>
      </c>
      <c r="AE33" s="346" t="str">
        <f>IFERROR(SMALL(Devices[Row Sel N], Devices[[#This Row],[Row Num]]), " ")</f>
        <v xml:space="preserve"> </v>
      </c>
      <c r="AF33" s="346" t="str">
        <f>IFERROR(INDEX(Devices[Part], Devices[[#This Row],[Sel D]], 1), "")</f>
        <v>ACPLC79B</v>
      </c>
      <c r="AG33" s="346">
        <f>IFERROR(INDEX(Devices[Part], Devices[[#This Row],[Sel SE]], 1), "")</f>
        <v>0</v>
      </c>
      <c r="AH33" s="346" t="str">
        <f>IFERROR(INDEX(Devices[Part], Devices[[#This Row],[Sel N]], 1), "")</f>
        <v/>
      </c>
      <c r="AJ33" s="347"/>
    </row>
    <row r="34" spans="1:36" ht="15" customHeight="1">
      <c r="A34" s="387" t="s">
        <v>204</v>
      </c>
      <c r="B34" s="339" t="s">
        <v>51</v>
      </c>
      <c r="C34" s="481" t="s">
        <v>51</v>
      </c>
      <c r="D34" s="350">
        <v>4.0000000000000002E-4</v>
      </c>
      <c r="E34" s="350">
        <v>2E-3</v>
      </c>
      <c r="F34" s="351">
        <v>6</v>
      </c>
      <c r="G34" s="351">
        <v>40</v>
      </c>
      <c r="H34" s="352">
        <v>0.02</v>
      </c>
      <c r="I34" s="352">
        <v>0.15</v>
      </c>
      <c r="J34" s="353">
        <v>0.15</v>
      </c>
      <c r="K34" s="353">
        <v>1</v>
      </c>
      <c r="L34" s="350">
        <v>2.0000000000000002E-5</v>
      </c>
      <c r="M34" s="350">
        <v>4.0000000000000002E-4</v>
      </c>
      <c r="N34" s="351">
        <v>0.9</v>
      </c>
      <c r="O34" s="351">
        <v>2.7</v>
      </c>
      <c r="P34" s="354">
        <v>250</v>
      </c>
      <c r="Q34" s="482" t="s">
        <v>495</v>
      </c>
      <c r="R34" s="388">
        <v>-40</v>
      </c>
      <c r="S34" s="388">
        <v>125</v>
      </c>
      <c r="T34" s="356">
        <v>12500</v>
      </c>
      <c r="U34" s="356">
        <v>19000</v>
      </c>
      <c r="V34" s="385">
        <v>22000</v>
      </c>
      <c r="W34" s="403">
        <v>8.1999999999999993</v>
      </c>
      <c r="X34" s="420">
        <v>30</v>
      </c>
      <c r="Y34" s="345">
        <f t="shared" si="0"/>
        <v>28</v>
      </c>
      <c r="Z34" s="345">
        <f>IF(OR($AL$75=Devices[[#This Row],[Input Type]], 0=Devices[[#This Row],[Input Type]]),Devices[[#This Row],[Row Num]], " ")</f>
        <v>28</v>
      </c>
      <c r="AA34" s="345" t="str">
        <f>IF(OR($AL$76=Devices[[#This Row],[Input Type]], 0=Devices[[#This Row],[Input Type]]),Devices[[#This Row],[Row Num]], " ")</f>
        <v xml:space="preserve"> </v>
      </c>
      <c r="AB34" s="345" t="str">
        <f>IF(0=Devices[[#This Row],[Input Type]], Devices[[#This Row],[Row Num]], " ")</f>
        <v xml:space="preserve"> </v>
      </c>
      <c r="AC34" s="346">
        <f>IFERROR(SMALL(Devices[Row Sel D], Devices[[#This Row],[Row Num]]), " ")</f>
        <v>45</v>
      </c>
      <c r="AD34" s="346">
        <f>IFERROR(SMALL(Devices[Row Sel SE], Devices[[#This Row],[Row Num]]), " ")</f>
        <v>67</v>
      </c>
      <c r="AE34" s="361" t="str">
        <f>IFERROR(SMALL(Devices[Row Sel N], Devices[[#This Row],[Row Num]]), " ")</f>
        <v xml:space="preserve"> </v>
      </c>
      <c r="AF34" s="346" t="str">
        <f>IFERROR(INDEX(Devices[Part], Devices[[#This Row],[Sel D]], 1), "")</f>
        <v>ACPLC79A</v>
      </c>
      <c r="AG34" s="346" t="str">
        <f>IFERROR(INDEX(Devices[Part], Devices[[#This Row],[Sel SE]], 1), "")</f>
        <v>ACPLC87B</v>
      </c>
      <c r="AH34" s="346" t="str">
        <f>IFERROR(INDEX(Devices[Part], Devices[[#This Row],[Sel N]], 1), "")</f>
        <v/>
      </c>
      <c r="AJ34" s="347"/>
    </row>
    <row r="35" spans="1:36" ht="15" customHeight="1">
      <c r="A35" s="387" t="s">
        <v>206</v>
      </c>
      <c r="B35" s="339" t="s">
        <v>51</v>
      </c>
      <c r="C35" s="481" t="s">
        <v>51</v>
      </c>
      <c r="D35" s="378">
        <v>4.0000000000000002E-4</v>
      </c>
      <c r="E35" s="378">
        <v>2E-3</v>
      </c>
      <c r="F35" s="379">
        <v>10</v>
      </c>
      <c r="G35" s="379">
        <v>35</v>
      </c>
      <c r="H35" s="380">
        <v>1.4999999999999999E-2</v>
      </c>
      <c r="I35" s="380">
        <v>0.05</v>
      </c>
      <c r="J35" s="381">
        <v>0.1</v>
      </c>
      <c r="K35" s="381">
        <v>0.5</v>
      </c>
      <c r="L35" s="378">
        <v>2.0000000000000002E-5</v>
      </c>
      <c r="M35" s="378">
        <v>2.9999999999999997E-4</v>
      </c>
      <c r="N35" s="379">
        <v>0.4</v>
      </c>
      <c r="O35" s="379">
        <v>1.2</v>
      </c>
      <c r="P35" s="382">
        <v>50</v>
      </c>
      <c r="Q35" s="401" t="s">
        <v>495</v>
      </c>
      <c r="R35" s="388">
        <v>-40</v>
      </c>
      <c r="S35" s="388">
        <v>125</v>
      </c>
      <c r="T35" s="357">
        <v>2500</v>
      </c>
      <c r="U35" s="357">
        <v>4750</v>
      </c>
      <c r="V35" s="384">
        <v>4900</v>
      </c>
      <c r="W35" s="403">
        <v>41</v>
      </c>
      <c r="X35" s="360">
        <v>36</v>
      </c>
      <c r="Y35" s="345">
        <f t="shared" si="0"/>
        <v>29</v>
      </c>
      <c r="Z35" s="345">
        <f>IF(OR($AL$75=Devices[[#This Row],[Input Type]], 0=Devices[[#This Row],[Input Type]]),Devices[[#This Row],[Row Num]], " ")</f>
        <v>29</v>
      </c>
      <c r="AA35" s="345" t="str">
        <f>IF(OR($AL$76=Devices[[#This Row],[Input Type]], 0=Devices[[#This Row],[Input Type]]),Devices[[#This Row],[Row Num]], " ")</f>
        <v xml:space="preserve"> </v>
      </c>
      <c r="AB35" s="345" t="str">
        <f>IF(0=Devices[[#This Row],[Input Type]], Devices[[#This Row],[Row Num]], " ")</f>
        <v xml:space="preserve"> </v>
      </c>
      <c r="AC35" s="346">
        <f>IFERROR(SMALL(Devices[Row Sel D], Devices[[#This Row],[Row Num]]), " ")</f>
        <v>46</v>
      </c>
      <c r="AD35" s="346">
        <f>IFERROR(SMALL(Devices[Row Sel SE], Devices[[#This Row],[Row Num]]), " ")</f>
        <v>68</v>
      </c>
      <c r="AE35" s="346" t="str">
        <f>IFERROR(SMALL(Devices[Row Sel N], Devices[[#This Row],[Row Num]]), " ")</f>
        <v xml:space="preserve"> </v>
      </c>
      <c r="AF35" s="346" t="str">
        <f>IFERROR(INDEX(Devices[Part], Devices[[#This Row],[Sel D]], 1), "")</f>
        <v>ACPLC790</v>
      </c>
      <c r="AG35" s="346" t="str">
        <f>IFERROR(INDEX(Devices[Part], Devices[[#This Row],[Sel SE]], 1), "")</f>
        <v>ACPLC87A</v>
      </c>
      <c r="AH35" s="346" t="str">
        <f>IFERROR(INDEX(Devices[Part], Devices[[#This Row],[Sel N]], 1), "")</f>
        <v/>
      </c>
      <c r="AJ35" s="347"/>
    </row>
    <row r="36" spans="1:36" ht="15" customHeight="1">
      <c r="A36" s="387" t="s">
        <v>216</v>
      </c>
      <c r="B36" s="339" t="s">
        <v>51</v>
      </c>
      <c r="C36" s="481" t="s">
        <v>51</v>
      </c>
      <c r="D36" s="378">
        <v>4.0000000000000002E-4</v>
      </c>
      <c r="E36" s="378">
        <v>2E-3</v>
      </c>
      <c r="F36" s="379">
        <v>10</v>
      </c>
      <c r="G36" s="379">
        <v>35</v>
      </c>
      <c r="H36" s="380">
        <v>1.4999999999999999E-2</v>
      </c>
      <c r="I36" s="380">
        <v>0.05</v>
      </c>
      <c r="J36" s="381">
        <v>0.1</v>
      </c>
      <c r="K36" s="381">
        <v>0.5</v>
      </c>
      <c r="L36" s="378">
        <v>2.0000000000000002E-5</v>
      </c>
      <c r="M36" s="378">
        <v>2.9999999999999997E-4</v>
      </c>
      <c r="N36" s="379">
        <v>0.4</v>
      </c>
      <c r="O36" s="379">
        <v>1.2</v>
      </c>
      <c r="P36" s="382">
        <v>50</v>
      </c>
      <c r="Q36" s="401" t="s">
        <v>495</v>
      </c>
      <c r="R36" s="388">
        <v>-40</v>
      </c>
      <c r="S36" s="388">
        <v>125</v>
      </c>
      <c r="T36" s="357">
        <v>2500</v>
      </c>
      <c r="U36" s="357">
        <v>4750</v>
      </c>
      <c r="V36" s="384">
        <v>4900</v>
      </c>
      <c r="W36" s="359">
        <v>41</v>
      </c>
      <c r="X36" s="360">
        <v>36</v>
      </c>
      <c r="Y36" s="345">
        <f t="shared" si="0"/>
        <v>30</v>
      </c>
      <c r="Z36" s="345">
        <f>IF(OR($AL$75=Devices[[#This Row],[Input Type]], 0=Devices[[#This Row],[Input Type]]),Devices[[#This Row],[Row Num]], " ")</f>
        <v>30</v>
      </c>
      <c r="AA36" s="345" t="str">
        <f>IF(OR($AL$76=Devices[[#This Row],[Input Type]], 0=Devices[[#This Row],[Input Type]]),Devices[[#This Row],[Row Num]], " ")</f>
        <v xml:space="preserve"> </v>
      </c>
      <c r="AB36" s="345" t="str">
        <f>IF(0=Devices[[#This Row],[Input Type]], Devices[[#This Row],[Row Num]], " ")</f>
        <v xml:space="preserve"> </v>
      </c>
      <c r="AC36" s="346">
        <f>IFERROR(SMALL(Devices[Row Sel D], Devices[[#This Row],[Row Num]]), " ")</f>
        <v>47</v>
      </c>
      <c r="AD36" s="346">
        <f>IFERROR(SMALL(Devices[Row Sel SE], Devices[[#This Row],[Row Num]]), " ")</f>
        <v>69</v>
      </c>
      <c r="AE36" s="361" t="str">
        <f>IFERROR(SMALL(Devices[Row Sel N], Devices[[#This Row],[Row Num]]), " ")</f>
        <v xml:space="preserve"> </v>
      </c>
      <c r="AF36" s="346" t="str">
        <f>IFERROR(INDEX(Devices[Part], Devices[[#This Row],[Sel D]], 1), "")</f>
        <v>NSi1200</v>
      </c>
      <c r="AG36" s="346" t="str">
        <f>IFERROR(INDEX(Devices[Part], Devices[[#This Row],[Sel SE]], 1), "")</f>
        <v>ACPLC870</v>
      </c>
      <c r="AH36" s="346" t="str">
        <f>IFERROR(INDEX(Devices[Part], Devices[[#This Row],[Sel N]], 1), "")</f>
        <v/>
      </c>
      <c r="AJ36" s="347"/>
    </row>
    <row r="37" spans="1:36" ht="15" customHeight="1">
      <c r="A37" s="387" t="s">
        <v>215</v>
      </c>
      <c r="B37" s="339" t="s">
        <v>51</v>
      </c>
      <c r="C37" s="481" t="s">
        <v>51</v>
      </c>
      <c r="D37" s="378">
        <v>8.0000000000000004E-4</v>
      </c>
      <c r="E37" s="378">
        <v>2E-3</v>
      </c>
      <c r="F37" s="379">
        <v>7</v>
      </c>
      <c r="G37" s="379">
        <v>45</v>
      </c>
      <c r="H37" s="380">
        <v>0.05</v>
      </c>
      <c r="I37" s="380">
        <v>0.3</v>
      </c>
      <c r="J37" s="381">
        <v>1</v>
      </c>
      <c r="K37" s="381">
        <v>4</v>
      </c>
      <c r="L37" s="378">
        <v>1E-4</v>
      </c>
      <c r="M37" s="378">
        <v>2.0000000000000001E-4</v>
      </c>
      <c r="N37" s="379">
        <v>0.4</v>
      </c>
      <c r="O37" s="379">
        <v>1.2</v>
      </c>
      <c r="P37" s="382">
        <v>1000</v>
      </c>
      <c r="Q37" s="401" t="s">
        <v>498</v>
      </c>
      <c r="R37" s="388">
        <v>-40</v>
      </c>
      <c r="S37" s="388">
        <v>125</v>
      </c>
      <c r="T37" s="357">
        <v>1000000000</v>
      </c>
      <c r="U37" s="357">
        <v>800000000</v>
      </c>
      <c r="V37" s="384">
        <v>1200000000</v>
      </c>
      <c r="W37" s="359">
        <v>2</v>
      </c>
      <c r="X37" s="417">
        <v>2.5000000000000001E-3</v>
      </c>
      <c r="Y37" s="345">
        <f t="shared" si="0"/>
        <v>31</v>
      </c>
      <c r="Z37" s="345">
        <f>IF(OR($AL$75=Devices[[#This Row],[Input Type]], 0=Devices[[#This Row],[Input Type]]),Devices[[#This Row],[Row Num]], " ")</f>
        <v>31</v>
      </c>
      <c r="AA37" s="345" t="str">
        <f>IF(OR($AL$76=Devices[[#This Row],[Input Type]], 0=Devices[[#This Row],[Input Type]]),Devices[[#This Row],[Row Num]], " ")</f>
        <v xml:space="preserve"> </v>
      </c>
      <c r="AB37" s="345" t="str">
        <f>IF(0=Devices[[#This Row],[Input Type]], Devices[[#This Row],[Row Num]], " ")</f>
        <v xml:space="preserve"> </v>
      </c>
      <c r="AC37" s="346">
        <f>IFERROR(SMALL(Devices[Row Sel D], Devices[[#This Row],[Row Num]]), " ")</f>
        <v>48</v>
      </c>
      <c r="AD37" s="346">
        <f>IFERROR(SMALL(Devices[Row Sel SE], Devices[[#This Row],[Row Num]]), " ")</f>
        <v>70</v>
      </c>
      <c r="AE37" s="361" t="str">
        <f>IFERROR(SMALL(Devices[Row Sel N], Devices[[#This Row],[Row Num]]), " ")</f>
        <v xml:space="preserve"> </v>
      </c>
      <c r="AF37" s="346" t="str">
        <f>IFERROR(INDEX(Devices[Part], Devices[[#This Row],[Sel D]], 1), "")</f>
        <v>NSi1300D25</v>
      </c>
      <c r="AG37" s="346" t="str">
        <f>IFERROR(INDEX(Devices[Part], Devices[[#This Row],[Sel SE]], 1), "")</f>
        <v>NSi1311</v>
      </c>
      <c r="AH37" s="346" t="str">
        <f>IFERROR(INDEX(Devices[Part], Devices[[#This Row],[Sel N]], 1), "")</f>
        <v/>
      </c>
      <c r="AJ37" s="347"/>
    </row>
    <row r="38" spans="1:36" ht="15" customHeight="1">
      <c r="A38" s="387" t="s">
        <v>205</v>
      </c>
      <c r="B38" s="339" t="s">
        <v>51</v>
      </c>
      <c r="C38" s="481" t="s">
        <v>51</v>
      </c>
      <c r="D38" s="378">
        <v>8.0000000000000004E-4</v>
      </c>
      <c r="E38" s="378">
        <v>2E-3</v>
      </c>
      <c r="F38" s="379">
        <v>7</v>
      </c>
      <c r="G38" s="379">
        <v>45</v>
      </c>
      <c r="H38" s="380">
        <v>0.05</v>
      </c>
      <c r="I38" s="380">
        <v>0.3</v>
      </c>
      <c r="J38" s="381">
        <v>1</v>
      </c>
      <c r="K38" s="381">
        <v>4</v>
      </c>
      <c r="L38" s="378">
        <v>1E-4</v>
      </c>
      <c r="M38" s="378">
        <v>2.0000000000000001E-4</v>
      </c>
      <c r="N38" s="379">
        <v>0.4</v>
      </c>
      <c r="O38" s="379">
        <v>1.2</v>
      </c>
      <c r="P38" s="382">
        <v>1000</v>
      </c>
      <c r="Q38" s="401" t="s">
        <v>498</v>
      </c>
      <c r="R38" s="388">
        <v>-40</v>
      </c>
      <c r="S38" s="388">
        <v>125</v>
      </c>
      <c r="T38" s="357">
        <v>1000000000</v>
      </c>
      <c r="U38" s="357">
        <v>800000000</v>
      </c>
      <c r="V38" s="356">
        <v>1200000000</v>
      </c>
      <c r="W38" s="359">
        <v>2</v>
      </c>
      <c r="X38" s="417">
        <v>2.5000000000000001E-3</v>
      </c>
      <c r="Y38" s="345">
        <f t="shared" si="0"/>
        <v>32</v>
      </c>
      <c r="Z38" s="345">
        <f>IF(OR($AL$75=Devices[[#This Row],[Input Type]], 0=Devices[[#This Row],[Input Type]]),Devices[[#This Row],[Row Num]], " ")</f>
        <v>32</v>
      </c>
      <c r="AA38" s="345" t="str">
        <f>IF(OR($AL$76=Devices[[#This Row],[Input Type]], 0=Devices[[#This Row],[Input Type]]),Devices[[#This Row],[Row Num]], " ")</f>
        <v xml:space="preserve"> </v>
      </c>
      <c r="AB38" s="345" t="str">
        <f>IF(0=Devices[[#This Row],[Input Type]], Devices[[#This Row],[Row Num]], " ")</f>
        <v xml:space="preserve"> </v>
      </c>
      <c r="AC38" s="346">
        <f>IFERROR(SMALL(Devices[Row Sel D], Devices[[#This Row],[Row Num]]), " ")</f>
        <v>49</v>
      </c>
      <c r="AD38" s="346">
        <f>IFERROR(SMALL(Devices[Row Sel SE], Devices[[#This Row],[Row Num]]), " ")</f>
        <v>71</v>
      </c>
      <c r="AE38" s="346" t="str">
        <f>IFERROR(SMALL(Devices[Row Sel N], Devices[[#This Row],[Row Num]]), " ")</f>
        <v xml:space="preserve"> </v>
      </c>
      <c r="AF38" s="346" t="str">
        <f>IFERROR(INDEX(Devices[Part], Devices[[#This Row],[Sel D]], 1), "")</f>
        <v>NSi1300D25-Q1</v>
      </c>
      <c r="AG38" s="346" t="str">
        <f>IFERROR(INDEX(Devices[Part], Devices[[#This Row],[Sel SE]], 1), "")</f>
        <v>NSi1311-Q1</v>
      </c>
      <c r="AH38" s="346" t="str">
        <f>IFERROR(INDEX(Devices[Part], Devices[[#This Row],[Sel N]], 1), "")</f>
        <v/>
      </c>
      <c r="AJ38" s="347"/>
    </row>
    <row r="39" spans="1:36" ht="15" customHeight="1">
      <c r="A39" s="405" t="s">
        <v>77</v>
      </c>
      <c r="B39" s="339" t="s">
        <v>52</v>
      </c>
      <c r="C39" s="481" t="s">
        <v>51</v>
      </c>
      <c r="D39" s="406">
        <v>4.0000000000000001E-3</v>
      </c>
      <c r="E39" s="406">
        <v>0.01</v>
      </c>
      <c r="F39" s="407">
        <v>20</v>
      </c>
      <c r="G39" s="407">
        <v>60</v>
      </c>
      <c r="H39" s="409">
        <v>1</v>
      </c>
      <c r="I39" s="409">
        <v>50</v>
      </c>
      <c r="J39" s="410">
        <v>12</v>
      </c>
      <c r="K39" s="410">
        <v>60</v>
      </c>
      <c r="L39" s="423">
        <v>3.0000000000000001E-5</v>
      </c>
      <c r="M39" s="406">
        <v>2.0000000000000001E-4</v>
      </c>
      <c r="N39" s="424">
        <v>0.1</v>
      </c>
      <c r="O39" s="424">
        <v>0.3</v>
      </c>
      <c r="P39" s="411">
        <v>12000</v>
      </c>
      <c r="Q39" s="482" t="s">
        <v>499</v>
      </c>
      <c r="R39" s="388">
        <v>-55</v>
      </c>
      <c r="S39" s="388">
        <v>125</v>
      </c>
      <c r="T39" s="412"/>
      <c r="U39" s="413">
        <v>1250000</v>
      </c>
      <c r="V39" s="413">
        <v>1250000</v>
      </c>
      <c r="W39" s="364">
        <v>0.33</v>
      </c>
      <c r="X39" s="425">
        <v>1.4999999999999999E-2</v>
      </c>
      <c r="Y39" s="366">
        <f>ROW()-6</f>
        <v>33</v>
      </c>
      <c r="Z39" s="366" t="str">
        <f>IF(OR($AL$75=Devices[[#This Row],[Input Type]], 0=Devices[[#This Row],[Input Type]]),Devices[[#This Row],[Row Num]], " ")</f>
        <v xml:space="preserve"> </v>
      </c>
      <c r="AA39" s="366">
        <f>IF(OR($AL$76=Devices[[#This Row],[Input Type]], 0=Devices[[#This Row],[Input Type]]),Devices[[#This Row],[Row Num]], " ")</f>
        <v>33</v>
      </c>
      <c r="AB39" s="366" t="str">
        <f>IF(0=Devices[[#This Row],[Input Type]], Devices[[#This Row],[Row Num]], " ")</f>
        <v xml:space="preserve"> </v>
      </c>
      <c r="AC39" s="366">
        <f>IFERROR(SMALL(Devices[Row Sel D], Devices[[#This Row],[Row Num]]), " ")</f>
        <v>50</v>
      </c>
      <c r="AD39" s="366">
        <f>IFERROR(SMALL(Devices[Row Sel SE], Devices[[#This Row],[Row Num]]), " ")</f>
        <v>72</v>
      </c>
      <c r="AE39" s="366" t="str">
        <f>IFERROR(SMALL(Devices[Row Sel N], Devices[[#This Row],[Row Num]]), " ")</f>
        <v xml:space="preserve"> </v>
      </c>
      <c r="AF39" s="366" t="str">
        <f>IFERROR(INDEX(Devices[Part], Devices[[#This Row],[Sel D]], 1), "")</f>
        <v>NSi1300D05</v>
      </c>
      <c r="AG39" s="366" t="str">
        <f>IFERROR(INDEX(Devices[Part], Devices[[#This Row],[Sel SE]], 1), "")</f>
        <v>Si8931</v>
      </c>
      <c r="AH39" s="366" t="str">
        <f>IFERROR(INDEX(Devices[Part], Devices[[#This Row],[Sel N]], 1), "")</f>
        <v/>
      </c>
      <c r="AJ39" s="347"/>
    </row>
    <row r="40" spans="1:36" ht="15" customHeight="1">
      <c r="A40" s="362" t="s">
        <v>76</v>
      </c>
      <c r="B40" s="426" t="s">
        <v>52</v>
      </c>
      <c r="C40" s="481" t="s">
        <v>51</v>
      </c>
      <c r="D40" s="396">
        <v>5.0000000000000001E-4</v>
      </c>
      <c r="E40" s="427">
        <v>3.0000000000000001E-3</v>
      </c>
      <c r="F40" s="428">
        <v>10</v>
      </c>
      <c r="G40" s="428">
        <v>35</v>
      </c>
      <c r="H40" s="429">
        <v>1</v>
      </c>
      <c r="I40" s="429">
        <v>5</v>
      </c>
      <c r="J40" s="430">
        <v>3</v>
      </c>
      <c r="K40" s="430">
        <v>15</v>
      </c>
      <c r="L40" s="423">
        <v>3.0000000000000001E-5</v>
      </c>
      <c r="M40" s="427">
        <v>1E-4</v>
      </c>
      <c r="N40" s="424">
        <v>0.1</v>
      </c>
      <c r="O40" s="424">
        <v>0.3</v>
      </c>
      <c r="P40" s="431">
        <v>12000</v>
      </c>
      <c r="Q40" s="401" t="s">
        <v>499</v>
      </c>
      <c r="R40" s="383">
        <v>-55</v>
      </c>
      <c r="S40" s="383">
        <v>125</v>
      </c>
      <c r="T40" s="384"/>
      <c r="U40" s="432">
        <v>1250000</v>
      </c>
      <c r="V40" s="432">
        <v>1250000</v>
      </c>
      <c r="W40" s="433">
        <v>0.33</v>
      </c>
      <c r="X40" s="425">
        <v>1.4999999999999999E-2</v>
      </c>
      <c r="Y40" s="345">
        <f t="shared" si="0"/>
        <v>34</v>
      </c>
      <c r="Z40" s="345" t="str">
        <f>IF(OR($AL$75=Devices[[#This Row],[Input Type]], 0=Devices[[#This Row],[Input Type]]),Devices[[#This Row],[Row Num]], " ")</f>
        <v xml:space="preserve"> </v>
      </c>
      <c r="AA40" s="345">
        <f>IF(OR($AL$76=Devices[[#This Row],[Input Type]], 0=Devices[[#This Row],[Input Type]]),Devices[[#This Row],[Row Num]], " ")</f>
        <v>34</v>
      </c>
      <c r="AB40" s="345" t="str">
        <f>IF(0=Devices[[#This Row],[Input Type]], Devices[[#This Row],[Row Num]], " ")</f>
        <v xml:space="preserve"> </v>
      </c>
      <c r="AC40" s="346">
        <f>IFERROR(SMALL(Devices[Row Sel D], Devices[[#This Row],[Row Num]]), " ")</f>
        <v>51</v>
      </c>
      <c r="AD40" s="346">
        <f>IFERROR(SMALL(Devices[Row Sel SE], Devices[[#This Row],[Row Num]]), " ")</f>
        <v>73</v>
      </c>
      <c r="AE40" s="361" t="str">
        <f>IFERROR(SMALL(Devices[Row Sel N], Devices[[#This Row],[Row Num]]), " ")</f>
        <v xml:space="preserve"> </v>
      </c>
      <c r="AF40" s="346" t="str">
        <f>IFERROR(INDEX(Devices[Part], Devices[[#This Row],[Sel D]], 1), "")</f>
        <v>NSi1300D05-Q1</v>
      </c>
      <c r="AG40" s="346" t="str">
        <f>IFERROR(INDEX(Devices[Part], Devices[[#This Row],[Sel SE]], 1), "")</f>
        <v>Si8932</v>
      </c>
      <c r="AH40" s="346" t="str">
        <f>IFERROR(INDEX(Devices[Part], Devices[[#This Row],[Sel N]], 1), "")</f>
        <v/>
      </c>
      <c r="AJ40" s="347"/>
    </row>
    <row r="41" spans="1:36" ht="15" hidden="1" customHeight="1">
      <c r="A41" s="434" t="s">
        <v>360</v>
      </c>
      <c r="B41" s="349" t="s">
        <v>52</v>
      </c>
      <c r="C41" s="481" t="s">
        <v>51</v>
      </c>
      <c r="D41" s="378">
        <v>2.0000000000000001E-4</v>
      </c>
      <c r="E41" s="378">
        <v>2.5000000000000001E-3</v>
      </c>
      <c r="F41" s="379">
        <v>20</v>
      </c>
      <c r="G41" s="379">
        <v>40</v>
      </c>
      <c r="H41" s="380">
        <v>0.03</v>
      </c>
      <c r="I41" s="380">
        <v>0.5</v>
      </c>
      <c r="J41" s="381">
        <v>0.06</v>
      </c>
      <c r="K41" s="381">
        <v>4</v>
      </c>
      <c r="L41" s="378">
        <v>1E-4</v>
      </c>
      <c r="M41" s="378">
        <v>2.9999999999999997E-4</v>
      </c>
      <c r="N41" s="379">
        <v>1</v>
      </c>
      <c r="O41" s="379">
        <v>3</v>
      </c>
      <c r="P41" s="382">
        <v>1000</v>
      </c>
      <c r="Q41" s="401"/>
      <c r="R41" s="401">
        <v>-40</v>
      </c>
      <c r="S41" s="401">
        <v>125</v>
      </c>
      <c r="T41" s="357"/>
      <c r="U41" s="435">
        <v>1000000000</v>
      </c>
      <c r="V41" s="435">
        <v>1000000000</v>
      </c>
      <c r="W41" s="436">
        <v>1</v>
      </c>
      <c r="X41" s="437">
        <v>2.0000000000000001E-4</v>
      </c>
      <c r="Y41" s="346">
        <f>ROW()-6</f>
        <v>35</v>
      </c>
      <c r="Z41" s="346" t="str">
        <f>IF(OR($AL$75=Devices[[#This Row],[Input Type]], 0=Devices[[#This Row],[Input Type]]),Devices[[#This Row],[Row Num]], " ")</f>
        <v xml:space="preserve"> </v>
      </c>
      <c r="AA41" s="346">
        <f>IF(OR($AL$76=Devices[[#This Row],[Input Type]], 0=Devices[[#This Row],[Input Type]]),Devices[[#This Row],[Row Num]], " ")</f>
        <v>35</v>
      </c>
      <c r="AB41" s="346" t="str">
        <f>IF(0=Devices[[#This Row],[Input Type]], Devices[[#This Row],[Row Num]], " ")</f>
        <v xml:space="preserve"> </v>
      </c>
      <c r="AC41" s="346">
        <f>IFERROR(SMALL(Devices[Row Sel D], Devices[[#This Row],[Row Num]]), " ")</f>
        <v>52</v>
      </c>
      <c r="AD41" s="346" t="str">
        <f>IFERROR(SMALL(Devices[Row Sel SE], Devices[[#This Row],[Row Num]]), " ")</f>
        <v xml:space="preserve"> </v>
      </c>
      <c r="AE41" s="346" t="str">
        <f>IFERROR(SMALL(Devices[Row Sel N], Devices[[#This Row],[Row Num]]), " ")</f>
        <v xml:space="preserve"> </v>
      </c>
      <c r="AF41" s="346" t="str">
        <f>IFERROR(INDEX(Devices[Part], Devices[[#This Row],[Sel D]], 1), "")</f>
        <v>NSi1312D</v>
      </c>
      <c r="AG41" s="346" t="str">
        <f>IFERROR(INDEX(Devices[Part], Devices[[#This Row],[Sel SE]], 1), "")</f>
        <v/>
      </c>
      <c r="AH41" s="346" t="str">
        <f>IFERROR(INDEX(Devices[Part], Devices[[#This Row],[Sel N]], 1), "")</f>
        <v/>
      </c>
      <c r="AJ41" s="347"/>
    </row>
    <row r="42" spans="1:36" ht="15" hidden="1" customHeight="1">
      <c r="A42" s="434" t="s">
        <v>359</v>
      </c>
      <c r="B42" s="349" t="s">
        <v>52</v>
      </c>
      <c r="C42" s="481" t="s">
        <v>51</v>
      </c>
      <c r="D42" s="438">
        <v>1.6999999999999999E-3</v>
      </c>
      <c r="E42" s="438">
        <v>5.0000000000000001E-3</v>
      </c>
      <c r="F42" s="439">
        <v>14</v>
      </c>
      <c r="G42" s="439">
        <v>42</v>
      </c>
      <c r="H42" s="440">
        <v>1.7</v>
      </c>
      <c r="I42" s="440">
        <v>5</v>
      </c>
      <c r="J42" s="441">
        <v>22</v>
      </c>
      <c r="K42" s="441">
        <v>66</v>
      </c>
      <c r="L42" s="438">
        <v>6.9999999999999999E-4</v>
      </c>
      <c r="M42" s="438">
        <v>2E-3</v>
      </c>
      <c r="N42" s="439">
        <v>2.66</v>
      </c>
      <c r="O42" s="439">
        <v>8</v>
      </c>
      <c r="P42" s="442">
        <v>4000</v>
      </c>
      <c r="Q42" s="443"/>
      <c r="R42" s="443">
        <v>-40</v>
      </c>
      <c r="S42" s="443">
        <v>125</v>
      </c>
      <c r="T42" s="435"/>
      <c r="U42" s="435">
        <v>1000000000</v>
      </c>
      <c r="V42" s="435">
        <v>1000000000</v>
      </c>
      <c r="W42" s="436">
        <v>1</v>
      </c>
      <c r="X42" s="437">
        <v>2.0000000000000001E-4</v>
      </c>
      <c r="Y42" s="444">
        <f>ROW()-6</f>
        <v>36</v>
      </c>
      <c r="Z42" s="444" t="str">
        <f>IF(OR($AL$75=Devices[[#This Row],[Input Type]], 0=Devices[[#This Row],[Input Type]]),Devices[[#This Row],[Row Num]], " ")</f>
        <v xml:space="preserve"> </v>
      </c>
      <c r="AA42" s="444">
        <f>IF(OR($AL$76=Devices[[#This Row],[Input Type]], 0=Devices[[#This Row],[Input Type]]),Devices[[#This Row],[Row Num]], " ")</f>
        <v>36</v>
      </c>
      <c r="AB42" s="444" t="str">
        <f>IF(0=Devices[[#This Row],[Input Type]], Devices[[#This Row],[Row Num]], " ")</f>
        <v xml:space="preserve"> </v>
      </c>
      <c r="AC42" s="444">
        <f>IFERROR(SMALL(Devices[Row Sel D], Devices[[#This Row],[Row Num]]), " ")</f>
        <v>53</v>
      </c>
      <c r="AD42" s="444" t="str">
        <f>IFERROR(SMALL(Devices[Row Sel SE], Devices[[#This Row],[Row Num]]), " ")</f>
        <v xml:space="preserve"> </v>
      </c>
      <c r="AE42" s="444" t="str">
        <f>IFERROR(SMALL(Devices[Row Sel N], Devices[[#This Row],[Row Num]]), " ")</f>
        <v xml:space="preserve"> </v>
      </c>
      <c r="AF42" s="444" t="str">
        <f>IFERROR(INDEX(Devices[Part], Devices[[#This Row],[Sel D]], 1), "")</f>
        <v>NSi1312S</v>
      </c>
      <c r="AG42" s="444" t="str">
        <f>IFERROR(INDEX(Devices[Part], Devices[[#This Row],[Sel SE]], 1), "")</f>
        <v/>
      </c>
      <c r="AH42" s="444" t="str">
        <f>IFERROR(INDEX(Devices[Part], Devices[[#This Row],[Sel N]], 1), "")</f>
        <v/>
      </c>
      <c r="AJ42" s="347"/>
    </row>
    <row r="43" spans="1:36" ht="15" hidden="1" customHeight="1">
      <c r="A43" s="434" t="s">
        <v>328</v>
      </c>
      <c r="B43" s="349" t="s">
        <v>51</v>
      </c>
      <c r="C43" s="481" t="s">
        <v>51</v>
      </c>
      <c r="D43" s="438">
        <v>0.01</v>
      </c>
      <c r="E43" s="438">
        <v>0.03</v>
      </c>
      <c r="F43" s="439">
        <v>60</v>
      </c>
      <c r="G43" s="439">
        <v>180</v>
      </c>
      <c r="H43" s="440">
        <v>0.3</v>
      </c>
      <c r="I43" s="440">
        <v>2</v>
      </c>
      <c r="J43" s="441">
        <v>1</v>
      </c>
      <c r="K43" s="441">
        <v>3.5</v>
      </c>
      <c r="L43" s="438">
        <v>1E-4</v>
      </c>
      <c r="M43" s="378">
        <v>4.0000000000000002E-4</v>
      </c>
      <c r="N43" s="439">
        <v>0</v>
      </c>
      <c r="O43" s="439">
        <v>1</v>
      </c>
      <c r="P43" s="442">
        <v>200</v>
      </c>
      <c r="Q43" s="443"/>
      <c r="R43" s="383">
        <v>-40</v>
      </c>
      <c r="S43" s="383">
        <v>105</v>
      </c>
      <c r="T43" s="435" t="s">
        <v>329</v>
      </c>
      <c r="U43" s="435">
        <v>24000</v>
      </c>
      <c r="V43" s="436">
        <v>30000</v>
      </c>
      <c r="W43" s="436">
        <v>1</v>
      </c>
      <c r="X43" s="436">
        <v>0.3</v>
      </c>
      <c r="Y43" s="444">
        <f t="shared" ref="Y43:Y69" si="2">ROW()-6</f>
        <v>37</v>
      </c>
      <c r="Z43" s="444">
        <f>IF(OR($AL$75=Devices[[#This Row],[Input Type]], 0=Devices[[#This Row],[Input Type]]),Devices[[#This Row],[Row Num]], " ")</f>
        <v>37</v>
      </c>
      <c r="AA43" s="444" t="str">
        <f>IF(OR($AL$76=Devices[[#This Row],[Input Type]], 0=Devices[[#This Row],[Input Type]]),Devices[[#This Row],[Row Num]], " ")</f>
        <v xml:space="preserve"> </v>
      </c>
      <c r="AB43" s="444" t="str">
        <f>IF(0=Devices[[#This Row],[Input Type]], Devices[[#This Row],[Row Num]], " ")</f>
        <v xml:space="preserve"> </v>
      </c>
      <c r="AC43" s="444">
        <f>IFERROR(SMALL(Devices[Row Sel D], Devices[[#This Row],[Row Num]]), " ")</f>
        <v>54</v>
      </c>
      <c r="AD43" s="444" t="str">
        <f>IFERROR(SMALL(Devices[Row Sel SE], Devices[[#This Row],[Row Num]]), " ")</f>
        <v xml:space="preserve"> </v>
      </c>
      <c r="AE43" s="444" t="str">
        <f>IFERROR(SMALL(Devices[Row Sel N], Devices[[#This Row],[Row Num]]), " ")</f>
        <v xml:space="preserve"> </v>
      </c>
      <c r="AF43" s="444" t="str">
        <f>IFERROR(INDEX(Devices[Part], Devices[[#This Row],[Sel D]], 1), "")</f>
        <v>CA-IS1200</v>
      </c>
      <c r="AG43" s="444" t="str">
        <f>IFERROR(INDEX(Devices[Part], Devices[[#This Row],[Sel SE]], 1), "")</f>
        <v/>
      </c>
      <c r="AH43" s="444" t="str">
        <f>IFERROR(INDEX(Devices[Part], Devices[[#This Row],[Sel N]], 1), "")</f>
        <v/>
      </c>
      <c r="AJ43" s="347"/>
    </row>
    <row r="44" spans="1:36" ht="15" hidden="1" customHeight="1">
      <c r="A44" s="387" t="s">
        <v>330</v>
      </c>
      <c r="B44" s="349" t="s">
        <v>51</v>
      </c>
      <c r="C44" s="481" t="s">
        <v>51</v>
      </c>
      <c r="D44" s="378">
        <v>6.6E-3</v>
      </c>
      <c r="E44" s="378">
        <v>0.02</v>
      </c>
      <c r="F44" s="379">
        <v>10</v>
      </c>
      <c r="G44" s="379">
        <v>30</v>
      </c>
      <c r="H44" s="380">
        <v>0.3</v>
      </c>
      <c r="I44" s="380">
        <v>4</v>
      </c>
      <c r="J44" s="381">
        <v>3</v>
      </c>
      <c r="K44" s="381">
        <v>10</v>
      </c>
      <c r="L44" s="378">
        <v>3.6999999999999998E-5</v>
      </c>
      <c r="M44" s="378">
        <v>3.5000000000000001E-3</v>
      </c>
      <c r="N44" s="379">
        <v>2</v>
      </c>
      <c r="O44" s="379">
        <v>6</v>
      </c>
      <c r="P44" s="382">
        <v>200</v>
      </c>
      <c r="Q44" s="401"/>
      <c r="R44" s="401">
        <v>-40</v>
      </c>
      <c r="S44" s="401">
        <v>125</v>
      </c>
      <c r="T44" s="357"/>
      <c r="U44" s="357">
        <v>432000</v>
      </c>
      <c r="V44" s="384">
        <v>500000</v>
      </c>
      <c r="W44" s="384">
        <v>8</v>
      </c>
      <c r="X44" s="360">
        <v>5</v>
      </c>
      <c r="Y44" s="444">
        <f t="shared" si="2"/>
        <v>38</v>
      </c>
      <c r="Z44" s="444">
        <f>IF(OR($AL$75=Devices[[#This Row],[Input Type]], 0=Devices[[#This Row],[Input Type]]),Devices[[#This Row],[Row Num]], " ")</f>
        <v>38</v>
      </c>
      <c r="AA44" s="444" t="str">
        <f>IF(OR($AL$76=Devices[[#This Row],[Input Type]], 0=Devices[[#This Row],[Input Type]]),Devices[[#This Row],[Row Num]], " ")</f>
        <v xml:space="preserve"> </v>
      </c>
      <c r="AB44" s="444" t="str">
        <f>IF(0=Devices[[#This Row],[Input Type]], Devices[[#This Row],[Row Num]], " ")</f>
        <v xml:space="preserve"> </v>
      </c>
      <c r="AC44" s="444">
        <f>IFERROR(SMALL(Devices[Row Sel D], Devices[[#This Row],[Row Num]]), " ")</f>
        <v>55</v>
      </c>
      <c r="AD44" s="444" t="str">
        <f>IFERROR(SMALL(Devices[Row Sel SE], Devices[[#This Row],[Row Num]]), " ")</f>
        <v xml:space="preserve"> </v>
      </c>
      <c r="AE44" s="444" t="str">
        <f>IFERROR(SMALL(Devices[Row Sel N], Devices[[#This Row],[Row Num]]), " ")</f>
        <v xml:space="preserve"> </v>
      </c>
      <c r="AF44" s="444" t="str">
        <f>IFERROR(INDEX(Devices[Part], Devices[[#This Row],[Sel D]], 1), "")</f>
        <v>CA-IS1300G05</v>
      </c>
      <c r="AG44" s="444" t="str">
        <f>IFERROR(INDEX(Devices[Part], Devices[[#This Row],[Sel SE]], 1), "")</f>
        <v/>
      </c>
      <c r="AH44" s="444" t="str">
        <f>IFERROR(INDEX(Devices[Part], Devices[[#This Row],[Sel N]], 1), "")</f>
        <v/>
      </c>
      <c r="AJ44" s="347"/>
    </row>
    <row r="45" spans="1:36" ht="15" hidden="1" customHeight="1">
      <c r="A45" s="387" t="s">
        <v>331</v>
      </c>
      <c r="B45" s="349" t="s">
        <v>51</v>
      </c>
      <c r="C45" s="481" t="s">
        <v>51</v>
      </c>
      <c r="D45" s="438">
        <v>1.6999999999999999E-3</v>
      </c>
      <c r="E45" s="438">
        <v>5.0000000000000001E-3</v>
      </c>
      <c r="F45" s="439">
        <v>15</v>
      </c>
      <c r="G45" s="439">
        <v>45</v>
      </c>
      <c r="H45" s="440">
        <v>0.9</v>
      </c>
      <c r="I45" s="440">
        <v>2.4</v>
      </c>
      <c r="J45" s="441">
        <v>2</v>
      </c>
      <c r="K45" s="441">
        <v>6</v>
      </c>
      <c r="L45" s="438">
        <v>2.0000000000000001E-4</v>
      </c>
      <c r="M45" s="438">
        <v>1.2999999999999999E-3</v>
      </c>
      <c r="N45" s="439">
        <v>0.7</v>
      </c>
      <c r="O45" s="439">
        <v>2.1</v>
      </c>
      <c r="P45" s="442">
        <v>200</v>
      </c>
      <c r="Q45" s="443"/>
      <c r="R45" s="445">
        <v>-40</v>
      </c>
      <c r="S45" s="445">
        <v>105</v>
      </c>
      <c r="T45" s="435"/>
      <c r="U45" s="435">
        <v>69000</v>
      </c>
      <c r="V45" s="436">
        <v>80000</v>
      </c>
      <c r="W45" s="436">
        <v>8.1999999999999993</v>
      </c>
      <c r="X45" s="437">
        <v>1</v>
      </c>
      <c r="Y45" s="444">
        <f t="shared" si="2"/>
        <v>39</v>
      </c>
      <c r="Z45" s="444">
        <f>IF(OR($AL$75=Devices[[#This Row],[Input Type]], 0=Devices[[#This Row],[Input Type]]),Devices[[#This Row],[Row Num]], " ")</f>
        <v>39</v>
      </c>
      <c r="AA45" s="444" t="str">
        <f>IF(OR($AL$76=Devices[[#This Row],[Input Type]], 0=Devices[[#This Row],[Input Type]]),Devices[[#This Row],[Row Num]], " ")</f>
        <v xml:space="preserve"> </v>
      </c>
      <c r="AB45" s="444" t="str">
        <f>IF(0=Devices[[#This Row],[Input Type]], Devices[[#This Row],[Row Num]], " ")</f>
        <v xml:space="preserve"> </v>
      </c>
      <c r="AC45" s="444">
        <f>IFERROR(SMALL(Devices[Row Sel D], Devices[[#This Row],[Row Num]]), " ")</f>
        <v>56</v>
      </c>
      <c r="AD45" s="444" t="str">
        <f>IFERROR(SMALL(Devices[Row Sel SE], Devices[[#This Row],[Row Num]]), " ")</f>
        <v xml:space="preserve"> </v>
      </c>
      <c r="AE45" s="444" t="str">
        <f>IFERROR(SMALL(Devices[Row Sel N], Devices[[#This Row],[Row Num]]), " ")</f>
        <v xml:space="preserve"> </v>
      </c>
      <c r="AF45" s="444" t="str">
        <f>IFERROR(INDEX(Devices[Part], Devices[[#This Row],[Sel D]], 1), "")</f>
        <v>CA-IS1300G25</v>
      </c>
      <c r="AG45" s="444" t="str">
        <f>IFERROR(INDEX(Devices[Part], Devices[[#This Row],[Sel SE]], 1), "")</f>
        <v/>
      </c>
      <c r="AH45" s="444" t="str">
        <f>IFERROR(INDEX(Devices[Part], Devices[[#This Row],[Sel N]], 1), "")</f>
        <v/>
      </c>
      <c r="AJ45" s="347"/>
    </row>
    <row r="46" spans="1:36" ht="15" hidden="1" customHeight="1">
      <c r="A46" s="387" t="s">
        <v>332</v>
      </c>
      <c r="B46" s="349" t="s">
        <v>51</v>
      </c>
      <c r="C46" s="481" t="s">
        <v>51</v>
      </c>
      <c r="D46" s="438">
        <v>3.3E-3</v>
      </c>
      <c r="E46" s="438">
        <v>0.01</v>
      </c>
      <c r="F46" s="439">
        <v>15</v>
      </c>
      <c r="G46" s="439">
        <v>45</v>
      </c>
      <c r="H46" s="440">
        <v>0.9</v>
      </c>
      <c r="I46" s="440">
        <v>2.4</v>
      </c>
      <c r="J46" s="441">
        <v>2</v>
      </c>
      <c r="K46" s="441">
        <v>6</v>
      </c>
      <c r="L46" s="438">
        <v>2.0000000000000001E-4</v>
      </c>
      <c r="M46" s="438">
        <v>1.2999999999999999E-3</v>
      </c>
      <c r="N46" s="439">
        <v>0.7</v>
      </c>
      <c r="O46" s="439">
        <v>2.1</v>
      </c>
      <c r="P46" s="442">
        <v>200</v>
      </c>
      <c r="Q46" s="443"/>
      <c r="R46" s="445">
        <v>-40</v>
      </c>
      <c r="S46" s="445">
        <v>105</v>
      </c>
      <c r="T46" s="435"/>
      <c r="U46" s="435">
        <v>69000</v>
      </c>
      <c r="V46" s="436">
        <v>80000</v>
      </c>
      <c r="W46" s="436">
        <v>8.1999999999999993</v>
      </c>
      <c r="X46" s="437">
        <v>1</v>
      </c>
      <c r="Y46" s="444">
        <f t="shared" si="2"/>
        <v>40</v>
      </c>
      <c r="Z46" s="444">
        <f>IF(OR($AL$75=Devices[[#This Row],[Input Type]], 0=Devices[[#This Row],[Input Type]]),Devices[[#This Row],[Row Num]], " ")</f>
        <v>40</v>
      </c>
      <c r="AA46" s="444" t="str">
        <f>IF(OR($AL$76=Devices[[#This Row],[Input Type]], 0=Devices[[#This Row],[Input Type]]),Devices[[#This Row],[Row Num]], " ")</f>
        <v xml:space="preserve"> </v>
      </c>
      <c r="AB46" s="444" t="str">
        <f>IF(0=Devices[[#This Row],[Input Type]], Devices[[#This Row],[Row Num]], " ")</f>
        <v xml:space="preserve"> </v>
      </c>
      <c r="AC46" s="444">
        <f>IFERROR(SMALL(Devices[Row Sel D], Devices[[#This Row],[Row Num]]), " ")</f>
        <v>57</v>
      </c>
      <c r="AD46" s="444" t="str">
        <f>IFERROR(SMALL(Devices[Row Sel SE], Devices[[#This Row],[Row Num]]), " ")</f>
        <v xml:space="preserve"> </v>
      </c>
      <c r="AE46" s="444" t="str">
        <f>IFERROR(SMALL(Devices[Row Sel N], Devices[[#This Row],[Row Num]]), " ")</f>
        <v xml:space="preserve"> </v>
      </c>
      <c r="AF46" s="444" t="str">
        <f>IFERROR(INDEX(Devices[Part], Devices[[#This Row],[Sel D]], 1), "")</f>
        <v>CA-IS1300B25</v>
      </c>
      <c r="AG46" s="444" t="str">
        <f>IFERROR(INDEX(Devices[Part], Devices[[#This Row],[Sel SE]], 1), "")</f>
        <v/>
      </c>
      <c r="AH46" s="444" t="str">
        <f>IFERROR(INDEX(Devices[Part], Devices[[#This Row],[Sel N]], 1), "")</f>
        <v/>
      </c>
      <c r="AJ46" s="347"/>
    </row>
    <row r="47" spans="1:36" ht="15" hidden="1" customHeight="1">
      <c r="A47" s="387" t="s">
        <v>333</v>
      </c>
      <c r="B47" s="349" t="s">
        <v>51</v>
      </c>
      <c r="C47" s="481" t="s">
        <v>51</v>
      </c>
      <c r="D47" s="378">
        <v>0.01</v>
      </c>
      <c r="E47" s="378">
        <v>0.03</v>
      </c>
      <c r="F47" s="379">
        <v>15</v>
      </c>
      <c r="G47" s="379">
        <v>45</v>
      </c>
      <c r="H47" s="380">
        <v>0.9</v>
      </c>
      <c r="I47" s="380">
        <v>2.4</v>
      </c>
      <c r="J47" s="381">
        <v>2</v>
      </c>
      <c r="K47" s="381">
        <v>6</v>
      </c>
      <c r="L47" s="378">
        <v>2.0000000000000001E-4</v>
      </c>
      <c r="M47" s="378">
        <v>1.2999999999999999E-3</v>
      </c>
      <c r="N47" s="379">
        <v>0.7</v>
      </c>
      <c r="O47" s="379">
        <v>2.1</v>
      </c>
      <c r="P47" s="382">
        <v>200</v>
      </c>
      <c r="Q47" s="401"/>
      <c r="R47" s="445">
        <v>-40</v>
      </c>
      <c r="S47" s="445">
        <v>105</v>
      </c>
      <c r="T47" s="357"/>
      <c r="U47" s="357">
        <v>69000</v>
      </c>
      <c r="V47" s="384">
        <v>80000</v>
      </c>
      <c r="W47" s="384">
        <v>8.1999999999999993</v>
      </c>
      <c r="X47" s="360">
        <v>1</v>
      </c>
      <c r="Y47" s="444">
        <f t="shared" si="2"/>
        <v>41</v>
      </c>
      <c r="Z47" s="444">
        <f>IF(OR($AL$75=Devices[[#This Row],[Input Type]], 0=Devices[[#This Row],[Input Type]]),Devices[[#This Row],[Row Num]], " ")</f>
        <v>41</v>
      </c>
      <c r="AA47" s="444" t="str">
        <f>IF(OR($AL$76=Devices[[#This Row],[Input Type]], 0=Devices[[#This Row],[Input Type]]),Devices[[#This Row],[Row Num]], " ")</f>
        <v xml:space="preserve"> </v>
      </c>
      <c r="AB47" s="444" t="str">
        <f>IF(0=Devices[[#This Row],[Input Type]], Devices[[#This Row],[Row Num]], " ")</f>
        <v xml:space="preserve"> </v>
      </c>
      <c r="AC47" s="444">
        <f>IFERROR(SMALL(Devices[Row Sel D], Devices[[#This Row],[Row Num]]), " ")</f>
        <v>58</v>
      </c>
      <c r="AD47" s="444" t="str">
        <f>IFERROR(SMALL(Devices[Row Sel SE], Devices[[#This Row],[Row Num]]), " ")</f>
        <v xml:space="preserve"> </v>
      </c>
      <c r="AE47" s="444" t="str">
        <f>IFERROR(SMALL(Devices[Row Sel N], Devices[[#This Row],[Row Num]]), " ")</f>
        <v xml:space="preserve"> </v>
      </c>
      <c r="AF47" s="444">
        <f>IFERROR(INDEX(Devices[Part], Devices[[#This Row],[Sel D]], 1), "")</f>
        <v>0</v>
      </c>
      <c r="AG47" s="444" t="str">
        <f>IFERROR(INDEX(Devices[Part], Devices[[#This Row],[Sel SE]], 1), "")</f>
        <v/>
      </c>
      <c r="AH47" s="444" t="str">
        <f>IFERROR(INDEX(Devices[Part], Devices[[#This Row],[Sel N]], 1), "")</f>
        <v/>
      </c>
      <c r="AJ47" s="347"/>
    </row>
    <row r="48" spans="1:36" ht="15" hidden="1" customHeight="1">
      <c r="A48" s="387" t="s">
        <v>334</v>
      </c>
      <c r="B48" s="349" t="s">
        <v>51</v>
      </c>
      <c r="C48" s="481" t="s">
        <v>51</v>
      </c>
      <c r="D48" s="438">
        <v>1.6999999999999999E-3</v>
      </c>
      <c r="E48" s="438">
        <v>5.0000000000000001E-3</v>
      </c>
      <c r="F48" s="439">
        <v>10</v>
      </c>
      <c r="G48" s="439">
        <v>30</v>
      </c>
      <c r="H48" s="440">
        <v>0.2</v>
      </c>
      <c r="I48" s="440">
        <v>1</v>
      </c>
      <c r="J48" s="441">
        <v>1</v>
      </c>
      <c r="K48" s="441">
        <v>3</v>
      </c>
      <c r="L48" s="438">
        <v>4.0000000000000002E-4</v>
      </c>
      <c r="M48" s="438">
        <v>1.5E-3</v>
      </c>
      <c r="N48" s="439"/>
      <c r="O48" s="439"/>
      <c r="P48" s="442">
        <v>125</v>
      </c>
      <c r="Q48" s="443"/>
      <c r="R48" s="445">
        <v>-40</v>
      </c>
      <c r="S48" s="445">
        <v>125</v>
      </c>
      <c r="T48" s="435"/>
      <c r="U48" s="435">
        <v>18000</v>
      </c>
      <c r="V48" s="436">
        <v>20000</v>
      </c>
      <c r="W48" s="436">
        <v>16.2</v>
      </c>
      <c r="X48" s="437"/>
      <c r="Y48" s="444">
        <f t="shared" si="2"/>
        <v>42</v>
      </c>
      <c r="Z48" s="444">
        <f>IF(OR($AL$75=Devices[[#This Row],[Input Type]], 0=Devices[[#This Row],[Input Type]]),Devices[[#This Row],[Row Num]], " ")</f>
        <v>42</v>
      </c>
      <c r="AA48" s="444" t="str">
        <f>IF(OR($AL$76=Devices[[#This Row],[Input Type]], 0=Devices[[#This Row],[Input Type]]),Devices[[#This Row],[Row Num]], " ")</f>
        <v xml:space="preserve"> </v>
      </c>
      <c r="AB48" s="444" t="str">
        <f>IF(0=Devices[[#This Row],[Input Type]], Devices[[#This Row],[Row Num]], " ")</f>
        <v xml:space="preserve"> </v>
      </c>
      <c r="AC48" s="444">
        <f>IFERROR(SMALL(Devices[Row Sel D], Devices[[#This Row],[Row Num]]), " ")</f>
        <v>59</v>
      </c>
      <c r="AD48" s="444" t="str">
        <f>IFERROR(SMALL(Devices[Row Sel SE], Devices[[#This Row],[Row Num]]), " ")</f>
        <v xml:space="preserve"> </v>
      </c>
      <c r="AE48" s="444" t="str">
        <f>IFERROR(SMALL(Devices[Row Sel N], Devices[[#This Row],[Row Num]]), " ")</f>
        <v xml:space="preserve"> </v>
      </c>
      <c r="AF48" s="444">
        <f>IFERROR(INDEX(Devices[Part], Devices[[#This Row],[Sel D]], 1), "")</f>
        <v>0</v>
      </c>
      <c r="AG48" s="444" t="str">
        <f>IFERROR(INDEX(Devices[Part], Devices[[#This Row],[Sel SE]], 1), "")</f>
        <v/>
      </c>
      <c r="AH48" s="444" t="str">
        <f>IFERROR(INDEX(Devices[Part], Devices[[#This Row],[Sel N]], 1), "")</f>
        <v/>
      </c>
      <c r="AJ48" s="347"/>
    </row>
    <row r="49" spans="1:36" ht="15" hidden="1" customHeight="1">
      <c r="A49" s="387" t="s">
        <v>335</v>
      </c>
      <c r="B49" s="349" t="s">
        <v>51</v>
      </c>
      <c r="C49" s="481" t="s">
        <v>51</v>
      </c>
      <c r="D49" s="438">
        <v>1.6999999999999999E-3</v>
      </c>
      <c r="E49" s="438">
        <v>5.0000000000000001E-3</v>
      </c>
      <c r="F49" s="439">
        <v>10</v>
      </c>
      <c r="G49" s="439">
        <v>30</v>
      </c>
      <c r="H49" s="440">
        <v>0.2</v>
      </c>
      <c r="I49" s="440">
        <v>1</v>
      </c>
      <c r="J49" s="441">
        <v>1</v>
      </c>
      <c r="K49" s="441">
        <v>3</v>
      </c>
      <c r="L49" s="438">
        <v>2.5000000000000001E-4</v>
      </c>
      <c r="M49" s="438">
        <v>1E-3</v>
      </c>
      <c r="N49" s="439"/>
      <c r="O49" s="439"/>
      <c r="P49" s="442">
        <v>250</v>
      </c>
      <c r="Q49" s="443"/>
      <c r="R49" s="445">
        <v>-40</v>
      </c>
      <c r="S49" s="445">
        <v>125</v>
      </c>
      <c r="T49" s="435"/>
      <c r="U49" s="435">
        <v>30000</v>
      </c>
      <c r="V49" s="436">
        <v>37200</v>
      </c>
      <c r="W49" s="436">
        <v>8.1</v>
      </c>
      <c r="X49" s="437"/>
      <c r="Y49" s="444">
        <f t="shared" si="2"/>
        <v>43</v>
      </c>
      <c r="Z49" s="444">
        <f>IF(OR($AL$75=Devices[[#This Row],[Input Type]], 0=Devices[[#This Row],[Input Type]]),Devices[[#This Row],[Row Num]], " ")</f>
        <v>43</v>
      </c>
      <c r="AA49" s="444" t="str">
        <f>IF(OR($AL$76=Devices[[#This Row],[Input Type]], 0=Devices[[#This Row],[Input Type]]),Devices[[#This Row],[Row Num]], " ")</f>
        <v xml:space="preserve"> </v>
      </c>
      <c r="AB49" s="444" t="str">
        <f>IF(0=Devices[[#This Row],[Input Type]], Devices[[#This Row],[Row Num]], " ")</f>
        <v xml:space="preserve"> </v>
      </c>
      <c r="AC49" s="444">
        <f>IFERROR(SMALL(Devices[Row Sel D], Devices[[#This Row],[Row Num]]), " ")</f>
        <v>60</v>
      </c>
      <c r="AD49" s="444" t="str">
        <f>IFERROR(SMALL(Devices[Row Sel SE], Devices[[#This Row],[Row Num]]), " ")</f>
        <v xml:space="preserve"> </v>
      </c>
      <c r="AE49" s="444" t="str">
        <f>IFERROR(SMALL(Devices[Row Sel N], Devices[[#This Row],[Row Num]]), " ")</f>
        <v xml:space="preserve"> </v>
      </c>
      <c r="AF49" s="444">
        <f>IFERROR(INDEX(Devices[Part], Devices[[#This Row],[Sel D]], 1), "")</f>
        <v>0</v>
      </c>
      <c r="AG49" s="444" t="str">
        <f>IFERROR(INDEX(Devices[Part], Devices[[#This Row],[Sel SE]], 1), "")</f>
        <v/>
      </c>
      <c r="AH49" s="444" t="str">
        <f>IFERROR(INDEX(Devices[Part], Devices[[#This Row],[Sel N]], 1), "")</f>
        <v/>
      </c>
      <c r="AJ49" s="347"/>
    </row>
    <row r="50" spans="1:36" ht="15" hidden="1" customHeight="1">
      <c r="A50" s="387" t="s">
        <v>336</v>
      </c>
      <c r="B50" s="349" t="s">
        <v>51</v>
      </c>
      <c r="C50" s="481" t="s">
        <v>51</v>
      </c>
      <c r="D50" s="438">
        <v>1.6999999999999999E-3</v>
      </c>
      <c r="E50" s="438">
        <v>5.0000000000000001E-3</v>
      </c>
      <c r="F50" s="439">
        <v>50</v>
      </c>
      <c r="G50" s="439">
        <v>150</v>
      </c>
      <c r="H50" s="440">
        <v>0.6</v>
      </c>
      <c r="I50" s="440">
        <v>2</v>
      </c>
      <c r="J50" s="441">
        <v>3</v>
      </c>
      <c r="K50" s="441">
        <v>10</v>
      </c>
      <c r="L50" s="438">
        <v>5.0000000000000001E-4</v>
      </c>
      <c r="M50" s="438">
        <v>1.2999999999999999E-3</v>
      </c>
      <c r="N50" s="439">
        <v>3</v>
      </c>
      <c r="O50" s="439">
        <v>10</v>
      </c>
      <c r="P50" s="442">
        <v>200</v>
      </c>
      <c r="Q50" s="443"/>
      <c r="R50" s="445">
        <v>-40</v>
      </c>
      <c r="S50" s="445">
        <v>105</v>
      </c>
      <c r="T50" s="435"/>
      <c r="U50" s="435">
        <v>19000</v>
      </c>
      <c r="V50" s="436">
        <v>22222</v>
      </c>
      <c r="W50" s="436">
        <v>8.1999999999999993</v>
      </c>
      <c r="X50" s="437">
        <v>1</v>
      </c>
      <c r="Y50" s="444">
        <f t="shared" si="2"/>
        <v>44</v>
      </c>
      <c r="Z50" s="444">
        <f>IF(OR($AL$75=Devices[[#This Row],[Input Type]], 0=Devices[[#This Row],[Input Type]]),Devices[[#This Row],[Row Num]], " ")</f>
        <v>44</v>
      </c>
      <c r="AA50" s="444" t="str">
        <f>IF(OR($AL$76=Devices[[#This Row],[Input Type]], 0=Devices[[#This Row],[Input Type]]),Devices[[#This Row],[Row Num]], " ")</f>
        <v xml:space="preserve"> </v>
      </c>
      <c r="AB50" s="444" t="str">
        <f>IF(0=Devices[[#This Row],[Input Type]], Devices[[#This Row],[Row Num]], " ")</f>
        <v xml:space="preserve"> </v>
      </c>
      <c r="AC50" s="444">
        <f>IFERROR(SMALL(Devices[Row Sel D], Devices[[#This Row],[Row Num]]), " ")</f>
        <v>61</v>
      </c>
      <c r="AD50" s="444" t="str">
        <f>IFERROR(SMALL(Devices[Row Sel SE], Devices[[#This Row],[Row Num]]), " ")</f>
        <v xml:space="preserve"> </v>
      </c>
      <c r="AE50" s="444" t="str">
        <f>IFERROR(SMALL(Devices[Row Sel N], Devices[[#This Row],[Row Num]]), " ")</f>
        <v xml:space="preserve"> </v>
      </c>
      <c r="AF50" s="444">
        <f>IFERROR(INDEX(Devices[Part], Devices[[#This Row],[Sel D]], 1), "")</f>
        <v>0</v>
      </c>
      <c r="AG50" s="444" t="str">
        <f>IFERROR(INDEX(Devices[Part], Devices[[#This Row],[Sel SE]], 1), "")</f>
        <v/>
      </c>
      <c r="AH50" s="444" t="str">
        <f>IFERROR(INDEX(Devices[Part], Devices[[#This Row],[Sel N]], 1), "")</f>
        <v/>
      </c>
      <c r="AJ50" s="347"/>
    </row>
    <row r="51" spans="1:36" ht="15" hidden="1" customHeight="1">
      <c r="A51" s="387" t="s">
        <v>337</v>
      </c>
      <c r="B51" s="349" t="s">
        <v>51</v>
      </c>
      <c r="C51" s="481" t="s">
        <v>51</v>
      </c>
      <c r="D51" s="438">
        <v>3.3E-3</v>
      </c>
      <c r="E51" s="438">
        <v>0.01</v>
      </c>
      <c r="F51" s="439">
        <v>50</v>
      </c>
      <c r="G51" s="439">
        <v>150</v>
      </c>
      <c r="H51" s="440">
        <v>0.6</v>
      </c>
      <c r="I51" s="440">
        <v>2</v>
      </c>
      <c r="J51" s="441">
        <v>3</v>
      </c>
      <c r="K51" s="441">
        <v>10</v>
      </c>
      <c r="L51" s="438">
        <v>5.0000000000000001E-4</v>
      </c>
      <c r="M51" s="438">
        <v>1.2999999999999999E-3</v>
      </c>
      <c r="N51" s="439">
        <v>3</v>
      </c>
      <c r="O51" s="439">
        <v>10</v>
      </c>
      <c r="P51" s="442">
        <v>200</v>
      </c>
      <c r="Q51" s="443"/>
      <c r="R51" s="445">
        <v>-40</v>
      </c>
      <c r="S51" s="445">
        <v>105</v>
      </c>
      <c r="T51" s="435"/>
      <c r="U51" s="435">
        <v>19000</v>
      </c>
      <c r="V51" s="436">
        <v>22222</v>
      </c>
      <c r="W51" s="436">
        <v>8.1999999999999993</v>
      </c>
      <c r="X51" s="437">
        <v>1</v>
      </c>
      <c r="Y51" s="444">
        <f t="shared" si="2"/>
        <v>45</v>
      </c>
      <c r="Z51" s="444">
        <f>IF(OR($AL$75=Devices[[#This Row],[Input Type]], 0=Devices[[#This Row],[Input Type]]),Devices[[#This Row],[Row Num]], " ")</f>
        <v>45</v>
      </c>
      <c r="AA51" s="444" t="str">
        <f>IF(OR($AL$76=Devices[[#This Row],[Input Type]], 0=Devices[[#This Row],[Input Type]]),Devices[[#This Row],[Row Num]], " ")</f>
        <v xml:space="preserve"> </v>
      </c>
      <c r="AB51" s="444" t="str">
        <f>IF(0=Devices[[#This Row],[Input Type]], Devices[[#This Row],[Row Num]], " ")</f>
        <v xml:space="preserve"> </v>
      </c>
      <c r="AC51" s="444">
        <f>IFERROR(SMALL(Devices[Row Sel D], Devices[[#This Row],[Row Num]]), " ")</f>
        <v>62</v>
      </c>
      <c r="AD51" s="444" t="str">
        <f>IFERROR(SMALL(Devices[Row Sel SE], Devices[[#This Row],[Row Num]]), " ")</f>
        <v xml:space="preserve"> </v>
      </c>
      <c r="AE51" s="444" t="str">
        <f>IFERROR(SMALL(Devices[Row Sel N], Devices[[#This Row],[Row Num]]), " ")</f>
        <v xml:space="preserve"> </v>
      </c>
      <c r="AF51" s="444">
        <f>IFERROR(INDEX(Devices[Part], Devices[[#This Row],[Sel D]], 1), "")</f>
        <v>0</v>
      </c>
      <c r="AG51" s="444" t="str">
        <f>IFERROR(INDEX(Devices[Part], Devices[[#This Row],[Sel SE]], 1), "")</f>
        <v/>
      </c>
      <c r="AH51" s="444" t="str">
        <f>IFERROR(INDEX(Devices[Part], Devices[[#This Row],[Sel N]], 1), "")</f>
        <v/>
      </c>
      <c r="AJ51" s="347"/>
    </row>
    <row r="52" spans="1:36" ht="15" hidden="1" customHeight="1">
      <c r="A52" s="362" t="s">
        <v>338</v>
      </c>
      <c r="B52" s="349" t="s">
        <v>51</v>
      </c>
      <c r="C52" s="481" t="s">
        <v>51</v>
      </c>
      <c r="D52" s="438">
        <v>0.01</v>
      </c>
      <c r="E52" s="438">
        <v>0.03</v>
      </c>
      <c r="F52" s="439">
        <v>50</v>
      </c>
      <c r="G52" s="439">
        <v>150</v>
      </c>
      <c r="H52" s="440">
        <v>0.6</v>
      </c>
      <c r="I52" s="440">
        <v>2</v>
      </c>
      <c r="J52" s="441">
        <v>3</v>
      </c>
      <c r="K52" s="441">
        <v>10</v>
      </c>
      <c r="L52" s="438">
        <v>5.0000000000000001E-4</v>
      </c>
      <c r="M52" s="438">
        <v>1.2999999999999999E-3</v>
      </c>
      <c r="N52" s="439">
        <v>3</v>
      </c>
      <c r="O52" s="439">
        <v>10</v>
      </c>
      <c r="P52" s="442">
        <v>200</v>
      </c>
      <c r="Q52" s="443"/>
      <c r="R52" s="445">
        <v>-40</v>
      </c>
      <c r="S52" s="445">
        <v>105</v>
      </c>
      <c r="T52" s="435"/>
      <c r="U52" s="435">
        <v>19000</v>
      </c>
      <c r="V52" s="436">
        <v>22222</v>
      </c>
      <c r="W52" s="436">
        <v>8.1999999999999993</v>
      </c>
      <c r="X52" s="437">
        <v>1</v>
      </c>
      <c r="Y52" s="444">
        <f t="shared" si="2"/>
        <v>46</v>
      </c>
      <c r="Z52" s="444">
        <f>IF(OR($AL$75=Devices[[#This Row],[Input Type]], 0=Devices[[#This Row],[Input Type]]),Devices[[#This Row],[Row Num]], " ")</f>
        <v>46</v>
      </c>
      <c r="AA52" s="444" t="str">
        <f>IF(OR($AL$76=Devices[[#This Row],[Input Type]], 0=Devices[[#This Row],[Input Type]]),Devices[[#This Row],[Row Num]], " ")</f>
        <v xml:space="preserve"> </v>
      </c>
      <c r="AB52" s="444" t="str">
        <f>IF(0=Devices[[#This Row],[Input Type]], Devices[[#This Row],[Row Num]], " ")</f>
        <v xml:space="preserve"> </v>
      </c>
      <c r="AC52" s="444">
        <f>IFERROR(SMALL(Devices[Row Sel D], Devices[[#This Row],[Row Num]]), " ")</f>
        <v>63</v>
      </c>
      <c r="AD52" s="444" t="str">
        <f>IFERROR(SMALL(Devices[Row Sel SE], Devices[[#This Row],[Row Num]]), " ")</f>
        <v xml:space="preserve"> </v>
      </c>
      <c r="AE52" s="444" t="str">
        <f>IFERROR(SMALL(Devices[Row Sel N], Devices[[#This Row],[Row Num]]), " ")</f>
        <v xml:space="preserve"> </v>
      </c>
      <c r="AF52" s="444">
        <f>IFERROR(INDEX(Devices[Part], Devices[[#This Row],[Sel D]], 1), "")</f>
        <v>0</v>
      </c>
      <c r="AG52" s="444" t="str">
        <f>IFERROR(INDEX(Devices[Part], Devices[[#This Row],[Sel SE]], 1), "")</f>
        <v/>
      </c>
      <c r="AH52" s="444" t="str">
        <f>IFERROR(INDEX(Devices[Part], Devices[[#This Row],[Sel N]], 1), "")</f>
        <v/>
      </c>
      <c r="AJ52" s="347"/>
    </row>
    <row r="53" spans="1:36" ht="15" hidden="1" customHeight="1">
      <c r="A53" s="362" t="s">
        <v>346</v>
      </c>
      <c r="B53" s="349" t="s">
        <v>51</v>
      </c>
      <c r="C53" s="481" t="s">
        <v>51</v>
      </c>
      <c r="D53" s="438">
        <v>5.0000000000000001E-4</v>
      </c>
      <c r="E53" s="438">
        <v>3.0000000000000001E-3</v>
      </c>
      <c r="F53" s="439">
        <v>15</v>
      </c>
      <c r="G53" s="439">
        <v>50</v>
      </c>
      <c r="H53" s="440">
        <v>0.01</v>
      </c>
      <c r="I53" s="440">
        <v>0.5</v>
      </c>
      <c r="J53" s="441">
        <v>1</v>
      </c>
      <c r="K53" s="441">
        <v>4</v>
      </c>
      <c r="L53" s="438">
        <v>1E-4</v>
      </c>
      <c r="M53" s="438">
        <v>2.9999999999999997E-4</v>
      </c>
      <c r="N53" s="439">
        <v>1</v>
      </c>
      <c r="O53" s="439">
        <v>3</v>
      </c>
      <c r="P53" s="442">
        <v>250</v>
      </c>
      <c r="Q53" s="443"/>
      <c r="R53" s="445">
        <v>-40</v>
      </c>
      <c r="S53" s="445">
        <v>125</v>
      </c>
      <c r="T53" s="435"/>
      <c r="U53" s="435">
        <v>19000</v>
      </c>
      <c r="V53" s="436">
        <v>22000</v>
      </c>
      <c r="W53" s="436">
        <v>8</v>
      </c>
      <c r="X53" s="437">
        <v>18</v>
      </c>
      <c r="Y53" s="444">
        <f t="shared" si="2"/>
        <v>47</v>
      </c>
      <c r="Z53" s="444">
        <f>IF(OR($AL$75=Devices[[#This Row],[Input Type]], 0=Devices[[#This Row],[Input Type]]),Devices[[#This Row],[Row Num]], " ")</f>
        <v>47</v>
      </c>
      <c r="AA53" s="444" t="str">
        <f>IF(OR($AL$76=Devices[[#This Row],[Input Type]], 0=Devices[[#This Row],[Input Type]]),Devices[[#This Row],[Row Num]], " ")</f>
        <v xml:space="preserve"> </v>
      </c>
      <c r="AB53" s="444" t="str">
        <f>IF(0=Devices[[#This Row],[Input Type]], Devices[[#This Row],[Row Num]], " ")</f>
        <v xml:space="preserve"> </v>
      </c>
      <c r="AC53" s="444">
        <f>IFERROR(SMALL(Devices[Row Sel D], Devices[[#This Row],[Row Num]]), " ")</f>
        <v>64</v>
      </c>
      <c r="AD53" s="444" t="str">
        <f>IFERROR(SMALL(Devices[Row Sel SE], Devices[[#This Row],[Row Num]]), " ")</f>
        <v xml:space="preserve"> </v>
      </c>
      <c r="AE53" s="444" t="str">
        <f>IFERROR(SMALL(Devices[Row Sel N], Devices[[#This Row],[Row Num]]), " ")</f>
        <v xml:space="preserve"> </v>
      </c>
      <c r="AF53" s="444">
        <f>IFERROR(INDEX(Devices[Part], Devices[[#This Row],[Sel D]], 1), "")</f>
        <v>0</v>
      </c>
      <c r="AG53" s="444" t="str">
        <f>IFERROR(INDEX(Devices[Part], Devices[[#This Row],[Sel SE]], 1), "")</f>
        <v/>
      </c>
      <c r="AH53" s="444" t="str">
        <f>IFERROR(INDEX(Devices[Part], Devices[[#This Row],[Sel N]], 1), "")</f>
        <v/>
      </c>
      <c r="AJ53" s="347"/>
    </row>
    <row r="54" spans="1:36" ht="15" hidden="1" customHeight="1">
      <c r="A54" s="362" t="s">
        <v>347</v>
      </c>
      <c r="B54" s="349" t="s">
        <v>51</v>
      </c>
      <c r="C54" s="481" t="s">
        <v>51</v>
      </c>
      <c r="D54" s="438">
        <v>5.0000000000000001E-4</v>
      </c>
      <c r="E54" s="438">
        <v>3.0000000000000001E-3</v>
      </c>
      <c r="F54" s="439">
        <v>15</v>
      </c>
      <c r="G54" s="439">
        <v>50</v>
      </c>
      <c r="H54" s="440">
        <v>0.01</v>
      </c>
      <c r="I54" s="440">
        <v>0.2</v>
      </c>
      <c r="J54" s="441">
        <v>1</v>
      </c>
      <c r="K54" s="441">
        <v>4</v>
      </c>
      <c r="L54" s="438">
        <v>1E-4</v>
      </c>
      <c r="M54" s="438">
        <v>4.0000000000000002E-4</v>
      </c>
      <c r="N54" s="439">
        <v>1</v>
      </c>
      <c r="O54" s="439">
        <v>3</v>
      </c>
      <c r="P54" s="442">
        <v>250</v>
      </c>
      <c r="Q54" s="443"/>
      <c r="R54" s="445">
        <v>-40</v>
      </c>
      <c r="S54" s="445">
        <v>125</v>
      </c>
      <c r="T54" s="435"/>
      <c r="U54" s="435">
        <v>19000</v>
      </c>
      <c r="V54" s="436">
        <v>22000</v>
      </c>
      <c r="W54" s="436">
        <v>8.1999999999999993</v>
      </c>
      <c r="X54" s="437">
        <v>18</v>
      </c>
      <c r="Y54" s="444">
        <f t="shared" si="2"/>
        <v>48</v>
      </c>
      <c r="Z54" s="444">
        <f>IF(OR($AL$75=Devices[[#This Row],[Input Type]], 0=Devices[[#This Row],[Input Type]]),Devices[[#This Row],[Row Num]], " ")</f>
        <v>48</v>
      </c>
      <c r="AA54" s="444" t="str">
        <f>IF(OR($AL$76=Devices[[#This Row],[Input Type]], 0=Devices[[#This Row],[Input Type]]),Devices[[#This Row],[Row Num]], " ")</f>
        <v xml:space="preserve"> </v>
      </c>
      <c r="AB54" s="444" t="str">
        <f>IF(0=Devices[[#This Row],[Input Type]], Devices[[#This Row],[Row Num]], " ")</f>
        <v xml:space="preserve"> </v>
      </c>
      <c r="AC54" s="444">
        <f>IFERROR(SMALL(Devices[Row Sel D], Devices[[#This Row],[Row Num]]), " ")</f>
        <v>65</v>
      </c>
      <c r="AD54" s="444" t="str">
        <f>IFERROR(SMALL(Devices[Row Sel SE], Devices[[#This Row],[Row Num]]), " ")</f>
        <v xml:space="preserve"> </v>
      </c>
      <c r="AE54" s="444" t="str">
        <f>IFERROR(SMALL(Devices[Row Sel N], Devices[[#This Row],[Row Num]]), " ")</f>
        <v xml:space="preserve"> </v>
      </c>
      <c r="AF54" s="444">
        <f>IFERROR(INDEX(Devices[Part], Devices[[#This Row],[Sel D]], 1), "")</f>
        <v>0</v>
      </c>
      <c r="AG54" s="444" t="str">
        <f>IFERROR(INDEX(Devices[Part], Devices[[#This Row],[Sel SE]], 1), "")</f>
        <v/>
      </c>
      <c r="AH54" s="444" t="str">
        <f>IFERROR(INDEX(Devices[Part], Devices[[#This Row],[Sel N]], 1), "")</f>
        <v/>
      </c>
      <c r="AJ54" s="347"/>
    </row>
    <row r="55" spans="1:36" ht="15" hidden="1" customHeight="1">
      <c r="A55" s="362" t="s">
        <v>348</v>
      </c>
      <c r="B55" s="349" t="s">
        <v>51</v>
      </c>
      <c r="C55" s="481" t="s">
        <v>51</v>
      </c>
      <c r="D55" s="438">
        <v>5.0000000000000001E-4</v>
      </c>
      <c r="E55" s="438">
        <v>3.0000000000000001E-3</v>
      </c>
      <c r="F55" s="439">
        <v>15</v>
      </c>
      <c r="G55" s="439">
        <v>50</v>
      </c>
      <c r="H55" s="440">
        <v>0.01</v>
      </c>
      <c r="I55" s="440">
        <v>0.2</v>
      </c>
      <c r="J55" s="441">
        <v>1</v>
      </c>
      <c r="K55" s="441">
        <v>4</v>
      </c>
      <c r="L55" s="438">
        <v>1E-4</v>
      </c>
      <c r="M55" s="438">
        <v>4.0000000000000002E-4</v>
      </c>
      <c r="N55" s="439">
        <v>1</v>
      </c>
      <c r="O55" s="439">
        <v>3</v>
      </c>
      <c r="P55" s="442">
        <v>250</v>
      </c>
      <c r="Q55" s="443"/>
      <c r="R55" s="445">
        <v>-40</v>
      </c>
      <c r="S55" s="445">
        <v>125</v>
      </c>
      <c r="T55" s="435"/>
      <c r="U55" s="435">
        <v>19000</v>
      </c>
      <c r="V55" s="436">
        <v>22000</v>
      </c>
      <c r="W55" s="436">
        <v>8.1999999999999993</v>
      </c>
      <c r="X55" s="437">
        <v>18</v>
      </c>
      <c r="Y55" s="444">
        <f t="shared" si="2"/>
        <v>49</v>
      </c>
      <c r="Z55" s="444">
        <f>IF(OR($AL$75=Devices[[#This Row],[Input Type]], 0=Devices[[#This Row],[Input Type]]),Devices[[#This Row],[Row Num]], " ")</f>
        <v>49</v>
      </c>
      <c r="AA55" s="444" t="str">
        <f>IF(OR($AL$76=Devices[[#This Row],[Input Type]], 0=Devices[[#This Row],[Input Type]]),Devices[[#This Row],[Row Num]], " ")</f>
        <v xml:space="preserve"> </v>
      </c>
      <c r="AB55" s="444" t="str">
        <f>IF(0=Devices[[#This Row],[Input Type]], Devices[[#This Row],[Row Num]], " ")</f>
        <v xml:space="preserve"> </v>
      </c>
      <c r="AC55" s="444">
        <f>IFERROR(SMALL(Devices[Row Sel D], Devices[[#This Row],[Row Num]]), " ")</f>
        <v>66</v>
      </c>
      <c r="AD55" s="444" t="str">
        <f>IFERROR(SMALL(Devices[Row Sel SE], Devices[[#This Row],[Row Num]]), " ")</f>
        <v xml:space="preserve"> </v>
      </c>
      <c r="AE55" s="444" t="str">
        <f>IFERROR(SMALL(Devices[Row Sel N], Devices[[#This Row],[Row Num]]), " ")</f>
        <v xml:space="preserve"> </v>
      </c>
      <c r="AF55" s="444">
        <f>IFERROR(INDEX(Devices[Part], Devices[[#This Row],[Sel D]], 1), "")</f>
        <v>0</v>
      </c>
      <c r="AG55" s="444" t="str">
        <f>IFERROR(INDEX(Devices[Part], Devices[[#This Row],[Sel SE]], 1), "")</f>
        <v/>
      </c>
      <c r="AH55" s="444" t="str">
        <f>IFERROR(INDEX(Devices[Part], Devices[[#This Row],[Sel N]], 1), "")</f>
        <v/>
      </c>
      <c r="AJ55" s="347"/>
    </row>
    <row r="56" spans="1:36" ht="15" hidden="1" customHeight="1">
      <c r="A56" s="362" t="s">
        <v>349</v>
      </c>
      <c r="B56" s="349" t="s">
        <v>51</v>
      </c>
      <c r="C56" s="481" t="s">
        <v>51</v>
      </c>
      <c r="D56" s="438">
        <v>5.0000000000000001E-4</v>
      </c>
      <c r="E56" s="438">
        <v>3.0000000000000001E-3</v>
      </c>
      <c r="F56" s="439">
        <v>15</v>
      </c>
      <c r="G56" s="439">
        <v>50</v>
      </c>
      <c r="H56" s="440">
        <v>0.01</v>
      </c>
      <c r="I56" s="440">
        <v>0.1</v>
      </c>
      <c r="J56" s="441">
        <v>0.15</v>
      </c>
      <c r="K56" s="441">
        <v>1</v>
      </c>
      <c r="L56" s="438">
        <v>1E-4</v>
      </c>
      <c r="M56" s="438">
        <v>4.0000000000000002E-4</v>
      </c>
      <c r="N56" s="439">
        <v>1</v>
      </c>
      <c r="O56" s="439">
        <v>3</v>
      </c>
      <c r="P56" s="442">
        <v>50</v>
      </c>
      <c r="Q56" s="443"/>
      <c r="R56" s="445">
        <v>-40</v>
      </c>
      <c r="S56" s="445">
        <v>125</v>
      </c>
      <c r="T56" s="435"/>
      <c r="U56" s="435">
        <v>4750</v>
      </c>
      <c r="V56" s="436">
        <v>4900</v>
      </c>
      <c r="W56" s="436">
        <v>41</v>
      </c>
      <c r="X56" s="437">
        <v>22</v>
      </c>
      <c r="Y56" s="444">
        <f t="shared" si="2"/>
        <v>50</v>
      </c>
      <c r="Z56" s="444">
        <f>IF(OR($AL$75=Devices[[#This Row],[Input Type]], 0=Devices[[#This Row],[Input Type]]),Devices[[#This Row],[Row Num]], " ")</f>
        <v>50</v>
      </c>
      <c r="AA56" s="444" t="str">
        <f>IF(OR($AL$76=Devices[[#This Row],[Input Type]], 0=Devices[[#This Row],[Input Type]]),Devices[[#This Row],[Row Num]], " ")</f>
        <v xml:space="preserve"> </v>
      </c>
      <c r="AB56" s="444" t="str">
        <f>IF(0=Devices[[#This Row],[Input Type]], Devices[[#This Row],[Row Num]], " ")</f>
        <v xml:space="preserve"> </v>
      </c>
      <c r="AC56" s="444" t="str">
        <f>IFERROR(SMALL(Devices[Row Sel D], Devices[[#This Row],[Row Num]]), " ")</f>
        <v xml:space="preserve"> </v>
      </c>
      <c r="AD56" s="444" t="str">
        <f>IFERROR(SMALL(Devices[Row Sel SE], Devices[[#This Row],[Row Num]]), " ")</f>
        <v xml:space="preserve"> </v>
      </c>
      <c r="AE56" s="444" t="str">
        <f>IFERROR(SMALL(Devices[Row Sel N], Devices[[#This Row],[Row Num]]), " ")</f>
        <v xml:space="preserve"> </v>
      </c>
      <c r="AF56" s="444" t="str">
        <f>IFERROR(INDEX(Devices[Part], Devices[[#This Row],[Sel D]], 1), "")</f>
        <v/>
      </c>
      <c r="AG56" s="444" t="str">
        <f>IFERROR(INDEX(Devices[Part], Devices[[#This Row],[Sel SE]], 1), "")</f>
        <v/>
      </c>
      <c r="AH56" s="444" t="str">
        <f>IFERROR(INDEX(Devices[Part], Devices[[#This Row],[Sel N]], 1), "")</f>
        <v/>
      </c>
      <c r="AJ56" s="347"/>
    </row>
    <row r="57" spans="1:36" ht="15" hidden="1" customHeight="1">
      <c r="A57" s="362" t="s">
        <v>350</v>
      </c>
      <c r="B57" s="349" t="s">
        <v>51</v>
      </c>
      <c r="C57" s="481" t="s">
        <v>51</v>
      </c>
      <c r="D57" s="438">
        <v>5.0000000000000001E-4</v>
      </c>
      <c r="E57" s="438">
        <v>3.0000000000000001E-3</v>
      </c>
      <c r="F57" s="439">
        <v>15</v>
      </c>
      <c r="G57" s="439">
        <v>50</v>
      </c>
      <c r="H57" s="440">
        <v>0.01</v>
      </c>
      <c r="I57" s="440">
        <v>0.1</v>
      </c>
      <c r="J57" s="441">
        <v>0.15</v>
      </c>
      <c r="K57" s="441">
        <v>1</v>
      </c>
      <c r="L57" s="438">
        <v>1E-4</v>
      </c>
      <c r="M57" s="438">
        <v>4.0000000000000002E-4</v>
      </c>
      <c r="N57" s="439">
        <v>1</v>
      </c>
      <c r="O57" s="439">
        <v>3</v>
      </c>
      <c r="P57" s="442">
        <v>50</v>
      </c>
      <c r="Q57" s="443"/>
      <c r="R57" s="445">
        <v>-40</v>
      </c>
      <c r="S57" s="445">
        <v>125</v>
      </c>
      <c r="T57" s="435"/>
      <c r="U57" s="435">
        <v>4750</v>
      </c>
      <c r="V57" s="436">
        <v>4900</v>
      </c>
      <c r="W57" s="436">
        <v>41</v>
      </c>
      <c r="X57" s="437">
        <v>22</v>
      </c>
      <c r="Y57" s="444">
        <f t="shared" si="2"/>
        <v>51</v>
      </c>
      <c r="Z57" s="444">
        <f>IF(OR($AL$75=Devices[[#This Row],[Input Type]], 0=Devices[[#This Row],[Input Type]]),Devices[[#This Row],[Row Num]], " ")</f>
        <v>51</v>
      </c>
      <c r="AA57" s="444" t="str">
        <f>IF(OR($AL$76=Devices[[#This Row],[Input Type]], 0=Devices[[#This Row],[Input Type]]),Devices[[#This Row],[Row Num]], " ")</f>
        <v xml:space="preserve"> </v>
      </c>
      <c r="AB57" s="444" t="str">
        <f>IF(0=Devices[[#This Row],[Input Type]], Devices[[#This Row],[Row Num]], " ")</f>
        <v xml:space="preserve"> </v>
      </c>
      <c r="AC57" s="444" t="str">
        <f>IFERROR(SMALL(Devices[Row Sel D], Devices[[#This Row],[Row Num]]), " ")</f>
        <v xml:space="preserve"> </v>
      </c>
      <c r="AD57" s="444" t="str">
        <f>IFERROR(SMALL(Devices[Row Sel SE], Devices[[#This Row],[Row Num]]), " ")</f>
        <v xml:space="preserve"> </v>
      </c>
      <c r="AE57" s="444" t="str">
        <f>IFERROR(SMALL(Devices[Row Sel N], Devices[[#This Row],[Row Num]]), " ")</f>
        <v xml:space="preserve"> </v>
      </c>
      <c r="AF57" s="444" t="str">
        <f>IFERROR(INDEX(Devices[Part], Devices[[#This Row],[Sel D]], 1), "")</f>
        <v/>
      </c>
      <c r="AG57" s="444" t="str">
        <f>IFERROR(INDEX(Devices[Part], Devices[[#This Row],[Sel SE]], 1), "")</f>
        <v/>
      </c>
      <c r="AH57" s="444" t="str">
        <f>IFERROR(INDEX(Devices[Part], Devices[[#This Row],[Sel N]], 1), "")</f>
        <v/>
      </c>
      <c r="AJ57" s="347"/>
    </row>
    <row r="58" spans="1:36" ht="15" hidden="1" customHeight="1">
      <c r="A58" s="362" t="s">
        <v>351</v>
      </c>
      <c r="B58" s="349" t="s">
        <v>51</v>
      </c>
      <c r="C58" s="481" t="s">
        <v>51</v>
      </c>
      <c r="D58" s="438">
        <v>1E-3</v>
      </c>
      <c r="E58" s="438">
        <v>4.0000000000000001E-3</v>
      </c>
      <c r="F58" s="439">
        <v>10</v>
      </c>
      <c r="G58" s="439">
        <v>50</v>
      </c>
      <c r="H58" s="440">
        <v>1</v>
      </c>
      <c r="I58" s="440">
        <v>5</v>
      </c>
      <c r="J58" s="441">
        <v>0.5</v>
      </c>
      <c r="K58" s="441">
        <v>25</v>
      </c>
      <c r="L58" s="438">
        <v>1E-4</v>
      </c>
      <c r="M58" s="438">
        <v>5.0000000000000001E-4</v>
      </c>
      <c r="N58" s="439">
        <v>1</v>
      </c>
      <c r="O58" s="439">
        <v>3</v>
      </c>
      <c r="P58" s="442">
        <v>1200</v>
      </c>
      <c r="Q58" s="443"/>
      <c r="R58" s="445">
        <v>-40</v>
      </c>
      <c r="S58" s="445">
        <v>125</v>
      </c>
      <c r="T58" s="435"/>
      <c r="U58" s="356">
        <v>1000000</v>
      </c>
      <c r="V58" s="356">
        <v>1600000</v>
      </c>
      <c r="W58" s="436">
        <v>1</v>
      </c>
      <c r="X58" s="437">
        <v>1E-3</v>
      </c>
      <c r="Y58" s="444">
        <f t="shared" si="2"/>
        <v>52</v>
      </c>
      <c r="Z58" s="444">
        <f>IF(OR($AL$75=Devices[[#This Row],[Input Type]], 0=Devices[[#This Row],[Input Type]]),Devices[[#This Row],[Row Num]], " ")</f>
        <v>52</v>
      </c>
      <c r="AA58" s="444" t="str">
        <f>IF(OR($AL$76=Devices[[#This Row],[Input Type]], 0=Devices[[#This Row],[Input Type]]),Devices[[#This Row],[Row Num]], " ")</f>
        <v xml:space="preserve"> </v>
      </c>
      <c r="AB58" s="444" t="str">
        <f>IF(0=Devices[[#This Row],[Input Type]], Devices[[#This Row],[Row Num]], " ")</f>
        <v xml:space="preserve"> </v>
      </c>
      <c r="AC58" s="444" t="str">
        <f>IFERROR(SMALL(Devices[Row Sel D], Devices[[#This Row],[Row Num]]), " ")</f>
        <v xml:space="preserve"> </v>
      </c>
      <c r="AD58" s="444" t="str">
        <f>IFERROR(SMALL(Devices[Row Sel SE], Devices[[#This Row],[Row Num]]), " ")</f>
        <v xml:space="preserve"> </v>
      </c>
      <c r="AE58" s="444" t="str">
        <f>IFERROR(SMALL(Devices[Row Sel N], Devices[[#This Row],[Row Num]]), " ")</f>
        <v xml:space="preserve"> </v>
      </c>
      <c r="AF58" s="444" t="str">
        <f>IFERROR(INDEX(Devices[Part], Devices[[#This Row],[Sel D]], 1), "")</f>
        <v/>
      </c>
      <c r="AG58" s="444" t="str">
        <f>IFERROR(INDEX(Devices[Part], Devices[[#This Row],[Sel SE]], 1), "")</f>
        <v/>
      </c>
      <c r="AH58" s="444" t="str">
        <f>IFERROR(INDEX(Devices[Part], Devices[[#This Row],[Sel N]], 1), "")</f>
        <v/>
      </c>
      <c r="AJ58" s="347"/>
    </row>
    <row r="59" spans="1:36" ht="15" hidden="1" customHeight="1">
      <c r="A59" s="362" t="s">
        <v>352</v>
      </c>
      <c r="B59" s="349" t="s">
        <v>51</v>
      </c>
      <c r="C59" s="481" t="s">
        <v>51</v>
      </c>
      <c r="D59" s="438">
        <v>1E-3</v>
      </c>
      <c r="E59" s="438">
        <v>4.0000000000000001E-3</v>
      </c>
      <c r="F59" s="439">
        <v>10</v>
      </c>
      <c r="G59" s="439">
        <v>50</v>
      </c>
      <c r="H59" s="440">
        <v>1</v>
      </c>
      <c r="I59" s="440">
        <v>5</v>
      </c>
      <c r="J59" s="441">
        <v>0.5</v>
      </c>
      <c r="K59" s="441">
        <v>25</v>
      </c>
      <c r="L59" s="438">
        <v>1E-4</v>
      </c>
      <c r="M59" s="438">
        <v>5.0000000000000001E-4</v>
      </c>
      <c r="N59" s="439">
        <v>1</v>
      </c>
      <c r="O59" s="439">
        <v>3</v>
      </c>
      <c r="P59" s="442">
        <v>1200</v>
      </c>
      <c r="Q59" s="443"/>
      <c r="R59" s="445">
        <v>-40</v>
      </c>
      <c r="S59" s="445">
        <v>125</v>
      </c>
      <c r="T59" s="435"/>
      <c r="U59" s="356">
        <v>1000000</v>
      </c>
      <c r="V59" s="356">
        <v>1600000</v>
      </c>
      <c r="W59" s="436">
        <v>1</v>
      </c>
      <c r="X59" s="437">
        <v>1E-3</v>
      </c>
      <c r="Y59" s="444">
        <f t="shared" si="2"/>
        <v>53</v>
      </c>
      <c r="Z59" s="444">
        <f>IF(OR($AL$75=Devices[[#This Row],[Input Type]], 0=Devices[[#This Row],[Input Type]]),Devices[[#This Row],[Row Num]], " ")</f>
        <v>53</v>
      </c>
      <c r="AA59" s="444" t="str">
        <f>IF(OR($AL$76=Devices[[#This Row],[Input Type]], 0=Devices[[#This Row],[Input Type]]),Devices[[#This Row],[Row Num]], " ")</f>
        <v xml:space="preserve"> </v>
      </c>
      <c r="AB59" s="444" t="str">
        <f>IF(0=Devices[[#This Row],[Input Type]], Devices[[#This Row],[Row Num]], " ")</f>
        <v xml:space="preserve"> </v>
      </c>
      <c r="AC59" s="444" t="str">
        <f>IFERROR(SMALL(Devices[Row Sel D], Devices[[#This Row],[Row Num]]), " ")</f>
        <v xml:space="preserve"> </v>
      </c>
      <c r="AD59" s="444" t="str">
        <f>IFERROR(SMALL(Devices[Row Sel SE], Devices[[#This Row],[Row Num]]), " ")</f>
        <v xml:space="preserve"> </v>
      </c>
      <c r="AE59" s="444" t="str">
        <f>IFERROR(SMALL(Devices[Row Sel N], Devices[[#This Row],[Row Num]]), " ")</f>
        <v xml:space="preserve"> </v>
      </c>
      <c r="AF59" s="444" t="str">
        <f>IFERROR(INDEX(Devices[Part], Devices[[#This Row],[Sel D]], 1), "")</f>
        <v/>
      </c>
      <c r="AG59" s="444" t="str">
        <f>IFERROR(INDEX(Devices[Part], Devices[[#This Row],[Sel SE]], 1), "")</f>
        <v/>
      </c>
      <c r="AH59" s="444" t="str">
        <f>IFERROR(INDEX(Devices[Part], Devices[[#This Row],[Sel N]], 1), "")</f>
        <v/>
      </c>
      <c r="AJ59" s="347"/>
    </row>
    <row r="60" spans="1:36" ht="15" hidden="1" customHeight="1">
      <c r="A60" s="362" t="s">
        <v>353</v>
      </c>
      <c r="B60" s="349" t="s">
        <v>51</v>
      </c>
      <c r="C60" s="481" t="s">
        <v>51</v>
      </c>
      <c r="D60" s="438">
        <v>5.0000000000000001E-4</v>
      </c>
      <c r="E60" s="438">
        <v>5.0000000000000001E-3</v>
      </c>
      <c r="F60" s="439">
        <v>15</v>
      </c>
      <c r="G60" s="439">
        <v>50</v>
      </c>
      <c r="H60" s="440">
        <v>0.05</v>
      </c>
      <c r="I60" s="440">
        <v>1</v>
      </c>
      <c r="J60" s="441">
        <v>1</v>
      </c>
      <c r="K60" s="441">
        <v>4</v>
      </c>
      <c r="L60" s="438">
        <v>1E-4</v>
      </c>
      <c r="M60" s="438">
        <v>2.9999999999999997E-4</v>
      </c>
      <c r="N60" s="439">
        <v>1</v>
      </c>
      <c r="O60" s="439">
        <v>3</v>
      </c>
      <c r="P60" s="442">
        <v>250</v>
      </c>
      <c r="Q60" s="443"/>
      <c r="R60" s="443">
        <v>-40</v>
      </c>
      <c r="S60" s="443">
        <v>125</v>
      </c>
      <c r="T60" s="435"/>
      <c r="U60" s="435">
        <v>19000</v>
      </c>
      <c r="V60" s="436">
        <v>22000</v>
      </c>
      <c r="W60" s="436">
        <v>8</v>
      </c>
      <c r="X60" s="437">
        <v>30</v>
      </c>
      <c r="Y60" s="444">
        <f>ROW()-6</f>
        <v>54</v>
      </c>
      <c r="Z60" s="444">
        <f>IF(OR($AL$75=Devices[[#This Row],[Input Type]], 0=Devices[[#This Row],[Input Type]]),Devices[[#This Row],[Row Num]], " ")</f>
        <v>54</v>
      </c>
      <c r="AA60" s="444" t="str">
        <f>IF(OR($AL$76=Devices[[#This Row],[Input Type]], 0=Devices[[#This Row],[Input Type]]),Devices[[#This Row],[Row Num]], " ")</f>
        <v xml:space="preserve"> </v>
      </c>
      <c r="AB60" s="444" t="str">
        <f>IF(0=Devices[[#This Row],[Input Type]], Devices[[#This Row],[Row Num]], " ")</f>
        <v xml:space="preserve"> </v>
      </c>
      <c r="AC60" s="444" t="str">
        <f>IFERROR(SMALL(Devices[Row Sel D], Devices[[#This Row],[Row Num]]), " ")</f>
        <v xml:space="preserve"> </v>
      </c>
      <c r="AD60" s="444" t="str">
        <f>IFERROR(SMALL(Devices[Row Sel SE], Devices[[#This Row],[Row Num]]), " ")</f>
        <v xml:space="preserve"> </v>
      </c>
      <c r="AE60" s="444" t="str">
        <f>IFERROR(SMALL(Devices[Row Sel N], Devices[[#This Row],[Row Num]]), " ")</f>
        <v xml:space="preserve"> </v>
      </c>
      <c r="AF60" s="444" t="str">
        <f>IFERROR(INDEX(Devices[Part], Devices[[#This Row],[Sel D]], 1), "")</f>
        <v/>
      </c>
      <c r="AG60" s="444" t="str">
        <f>IFERROR(INDEX(Devices[Part], Devices[[#This Row],[Sel SE]], 1), "")</f>
        <v/>
      </c>
      <c r="AH60" s="444" t="str">
        <f>IFERROR(INDEX(Devices[Part], Devices[[#This Row],[Sel N]], 1), "")</f>
        <v/>
      </c>
      <c r="AJ60" s="347"/>
    </row>
    <row r="61" spans="1:36" ht="15" hidden="1" customHeight="1">
      <c r="A61" s="362" t="s">
        <v>354</v>
      </c>
      <c r="B61" s="349" t="s">
        <v>51</v>
      </c>
      <c r="C61" s="481" t="s">
        <v>51</v>
      </c>
      <c r="D61" s="438">
        <v>5.0000000000000001E-4</v>
      </c>
      <c r="E61" s="438">
        <v>3.0000000000000001E-3</v>
      </c>
      <c r="F61" s="439">
        <v>15</v>
      </c>
      <c r="G61" s="439">
        <v>50</v>
      </c>
      <c r="H61" s="440">
        <v>0.01</v>
      </c>
      <c r="I61" s="440">
        <v>0.1</v>
      </c>
      <c r="J61" s="441">
        <v>0.15</v>
      </c>
      <c r="K61" s="441">
        <v>1</v>
      </c>
      <c r="L61" s="438">
        <v>1E-4</v>
      </c>
      <c r="M61" s="438">
        <v>2.9999999999999997E-4</v>
      </c>
      <c r="N61" s="439">
        <v>1</v>
      </c>
      <c r="O61" s="439">
        <v>3</v>
      </c>
      <c r="P61" s="442">
        <v>50</v>
      </c>
      <c r="Q61" s="443"/>
      <c r="R61" s="443">
        <v>-40</v>
      </c>
      <c r="S61" s="443">
        <v>125</v>
      </c>
      <c r="T61" s="435"/>
      <c r="U61" s="435">
        <v>4750</v>
      </c>
      <c r="V61" s="436">
        <v>4900</v>
      </c>
      <c r="W61" s="436">
        <v>41</v>
      </c>
      <c r="X61" s="437">
        <v>36</v>
      </c>
      <c r="Y61" s="444">
        <f>ROW()-6</f>
        <v>55</v>
      </c>
      <c r="Z61" s="444">
        <f>IF(OR($AL$75=Devices[[#This Row],[Input Type]], 0=Devices[[#This Row],[Input Type]]),Devices[[#This Row],[Row Num]], " ")</f>
        <v>55</v>
      </c>
      <c r="AA61" s="444" t="str">
        <f>IF(OR($AL$76=Devices[[#This Row],[Input Type]], 0=Devices[[#This Row],[Input Type]]),Devices[[#This Row],[Row Num]], " ")</f>
        <v xml:space="preserve"> </v>
      </c>
      <c r="AB61" s="444" t="str">
        <f>IF(0=Devices[[#This Row],[Input Type]], Devices[[#This Row],[Row Num]], " ")</f>
        <v xml:space="preserve"> </v>
      </c>
      <c r="AC61" s="444" t="str">
        <f>IFERROR(SMALL(Devices[Row Sel D], Devices[[#This Row],[Row Num]]), " ")</f>
        <v xml:space="preserve"> </v>
      </c>
      <c r="AD61" s="444" t="str">
        <f>IFERROR(SMALL(Devices[Row Sel SE], Devices[[#This Row],[Row Num]]), " ")</f>
        <v xml:space="preserve"> </v>
      </c>
      <c r="AE61" s="444" t="str">
        <f>IFERROR(SMALL(Devices[Row Sel N], Devices[[#This Row],[Row Num]]), " ")</f>
        <v xml:space="preserve"> </v>
      </c>
      <c r="AF61" s="444" t="str">
        <f>IFERROR(INDEX(Devices[Part], Devices[[#This Row],[Sel D]], 1), "")</f>
        <v/>
      </c>
      <c r="AG61" s="444" t="str">
        <f>IFERROR(INDEX(Devices[Part], Devices[[#This Row],[Sel SE]], 1), "")</f>
        <v/>
      </c>
      <c r="AH61" s="444" t="str">
        <f>IFERROR(INDEX(Devices[Part], Devices[[#This Row],[Sel N]], 1), "")</f>
        <v/>
      </c>
      <c r="AJ61" s="347"/>
    </row>
    <row r="62" spans="1:36" ht="15" hidden="1" customHeight="1">
      <c r="A62" s="362" t="s">
        <v>355</v>
      </c>
      <c r="B62" s="349" t="s">
        <v>51</v>
      </c>
      <c r="C62" s="481" t="s">
        <v>51</v>
      </c>
      <c r="D62" s="438">
        <v>5.0000000000000001E-4</v>
      </c>
      <c r="E62" s="438">
        <v>5.0000000000000001E-3</v>
      </c>
      <c r="F62" s="439">
        <v>15</v>
      </c>
      <c r="G62" s="439">
        <v>50</v>
      </c>
      <c r="H62" s="440">
        <v>0.05</v>
      </c>
      <c r="I62" s="440">
        <v>1</v>
      </c>
      <c r="J62" s="441">
        <v>1</v>
      </c>
      <c r="K62" s="441">
        <v>4</v>
      </c>
      <c r="L62" s="438">
        <v>1E-4</v>
      </c>
      <c r="M62" s="438">
        <v>2.9999999999999997E-4</v>
      </c>
      <c r="N62" s="439">
        <v>1</v>
      </c>
      <c r="O62" s="439">
        <v>3</v>
      </c>
      <c r="P62" s="442">
        <v>250</v>
      </c>
      <c r="Q62" s="443"/>
      <c r="R62" s="443">
        <v>-40</v>
      </c>
      <c r="S62" s="443">
        <v>125</v>
      </c>
      <c r="T62" s="435"/>
      <c r="U62" s="435">
        <v>19000</v>
      </c>
      <c r="V62" s="436">
        <v>22000</v>
      </c>
      <c r="W62" s="436">
        <v>8.1999999999999993</v>
      </c>
      <c r="X62" s="437">
        <v>30</v>
      </c>
      <c r="Y62" s="444">
        <f>ROW()-6</f>
        <v>56</v>
      </c>
      <c r="Z62" s="444">
        <f>IF(OR($AL$75=Devices[[#This Row],[Input Type]], 0=Devices[[#This Row],[Input Type]]),Devices[[#This Row],[Row Num]], " ")</f>
        <v>56</v>
      </c>
      <c r="AA62" s="444" t="str">
        <f>IF(OR($AL$76=Devices[[#This Row],[Input Type]], 0=Devices[[#This Row],[Input Type]]),Devices[[#This Row],[Row Num]], " ")</f>
        <v xml:space="preserve"> </v>
      </c>
      <c r="AB62" s="444" t="str">
        <f>IF(0=Devices[[#This Row],[Input Type]], Devices[[#This Row],[Row Num]], " ")</f>
        <v xml:space="preserve"> </v>
      </c>
      <c r="AC62" s="444" t="str">
        <f>IFERROR(SMALL(Devices[Row Sel D], Devices[[#This Row],[Row Num]]), " ")</f>
        <v xml:space="preserve"> </v>
      </c>
      <c r="AD62" s="444" t="str">
        <f>IFERROR(SMALL(Devices[Row Sel SE], Devices[[#This Row],[Row Num]]), " ")</f>
        <v xml:space="preserve"> </v>
      </c>
      <c r="AE62" s="444" t="str">
        <f>IFERROR(SMALL(Devices[Row Sel N], Devices[[#This Row],[Row Num]]), " ")</f>
        <v xml:space="preserve"> </v>
      </c>
      <c r="AF62" s="444" t="str">
        <f>IFERROR(INDEX(Devices[Part], Devices[[#This Row],[Sel D]], 1), "")</f>
        <v/>
      </c>
      <c r="AG62" s="444" t="str">
        <f>IFERROR(INDEX(Devices[Part], Devices[[#This Row],[Sel SE]], 1), "")</f>
        <v/>
      </c>
      <c r="AH62" s="444" t="str">
        <f>IFERROR(INDEX(Devices[Part], Devices[[#This Row],[Sel N]], 1), "")</f>
        <v/>
      </c>
      <c r="AJ62" s="347"/>
    </row>
    <row r="63" spans="1:36" ht="15" hidden="1" customHeight="1">
      <c r="A63" s="362" t="s">
        <v>356</v>
      </c>
      <c r="B63" s="349" t="s">
        <v>51</v>
      </c>
      <c r="C63" s="481" t="s">
        <v>51</v>
      </c>
      <c r="D63" s="438">
        <v>5.0000000000000001E-4</v>
      </c>
      <c r="E63" s="438">
        <v>3.0000000000000001E-3</v>
      </c>
      <c r="F63" s="439">
        <v>15</v>
      </c>
      <c r="G63" s="439">
        <v>50</v>
      </c>
      <c r="H63" s="440">
        <v>0.05</v>
      </c>
      <c r="I63" s="440">
        <v>0.2</v>
      </c>
      <c r="J63" s="441">
        <v>1</v>
      </c>
      <c r="K63" s="441">
        <v>3.5</v>
      </c>
      <c r="L63" s="438">
        <v>1E-4</v>
      </c>
      <c r="M63" s="438">
        <v>2.9999999999999997E-4</v>
      </c>
      <c r="N63" s="439">
        <v>1</v>
      </c>
      <c r="O63" s="439">
        <v>3</v>
      </c>
      <c r="P63" s="442">
        <v>250</v>
      </c>
      <c r="Q63" s="443"/>
      <c r="R63" s="443">
        <v>-40</v>
      </c>
      <c r="S63" s="443">
        <v>125</v>
      </c>
      <c r="T63" s="435"/>
      <c r="U63" s="435">
        <v>19000</v>
      </c>
      <c r="V63" s="436">
        <v>22000</v>
      </c>
      <c r="W63" s="436">
        <v>8.1999999999999993</v>
      </c>
      <c r="X63" s="437">
        <v>30</v>
      </c>
      <c r="Y63" s="444">
        <f>ROW()-6</f>
        <v>57</v>
      </c>
      <c r="Z63" s="444">
        <f>IF(OR($AL$75=Devices[[#This Row],[Input Type]], 0=Devices[[#This Row],[Input Type]]),Devices[[#This Row],[Row Num]], " ")</f>
        <v>57</v>
      </c>
      <c r="AA63" s="444" t="str">
        <f>IF(OR($AL$76=Devices[[#This Row],[Input Type]], 0=Devices[[#This Row],[Input Type]]),Devices[[#This Row],[Row Num]], " ")</f>
        <v xml:space="preserve"> </v>
      </c>
      <c r="AB63" s="444" t="str">
        <f>IF(0=Devices[[#This Row],[Input Type]], Devices[[#This Row],[Row Num]], " ")</f>
        <v xml:space="preserve"> </v>
      </c>
      <c r="AC63" s="444" t="str">
        <f>IFERROR(SMALL(Devices[Row Sel D], Devices[[#This Row],[Row Num]]), " ")</f>
        <v xml:space="preserve"> </v>
      </c>
      <c r="AD63" s="444" t="str">
        <f>IFERROR(SMALL(Devices[Row Sel SE], Devices[[#This Row],[Row Num]]), " ")</f>
        <v xml:space="preserve"> </v>
      </c>
      <c r="AE63" s="444" t="str">
        <f>IFERROR(SMALL(Devices[Row Sel N], Devices[[#This Row],[Row Num]]), " ")</f>
        <v xml:space="preserve"> </v>
      </c>
      <c r="AF63" s="444" t="str">
        <f>IFERROR(INDEX(Devices[Part], Devices[[#This Row],[Sel D]], 1), "")</f>
        <v/>
      </c>
      <c r="AG63" s="444" t="str">
        <f>IFERROR(INDEX(Devices[Part], Devices[[#This Row],[Sel SE]], 1), "")</f>
        <v/>
      </c>
      <c r="AH63" s="444" t="str">
        <f>IFERROR(INDEX(Devices[Part], Devices[[#This Row],[Sel N]], 1), "")</f>
        <v/>
      </c>
    </row>
    <row r="64" spans="1:36" ht="15" hidden="1" customHeight="1">
      <c r="A64" s="362"/>
      <c r="B64" s="377"/>
      <c r="C64" s="481" t="s">
        <v>51</v>
      </c>
      <c r="D64" s="446"/>
      <c r="E64" s="446"/>
      <c r="F64" s="447"/>
      <c r="G64" s="447"/>
      <c r="H64" s="448"/>
      <c r="I64" s="448"/>
      <c r="J64" s="449"/>
      <c r="K64" s="449"/>
      <c r="L64" s="446"/>
      <c r="M64" s="446"/>
      <c r="N64" s="447"/>
      <c r="O64" s="447"/>
      <c r="P64" s="450"/>
      <c r="Q64" s="451"/>
      <c r="R64" s="451"/>
      <c r="S64" s="451"/>
      <c r="T64" s="452"/>
      <c r="U64" s="452"/>
      <c r="V64" s="453"/>
      <c r="W64" s="453"/>
      <c r="X64" s="454"/>
      <c r="Y64" s="444">
        <f t="shared" si="2"/>
        <v>58</v>
      </c>
      <c r="Z64" s="444">
        <f>IF(OR($AL$75=Devices[[#This Row],[Input Type]], 0=Devices[[#This Row],[Input Type]]),Devices[[#This Row],[Row Num]], " ")</f>
        <v>58</v>
      </c>
      <c r="AA64" s="444">
        <f>IF(OR($AL$76=Devices[[#This Row],[Input Type]], 0=Devices[[#This Row],[Input Type]]),Devices[[#This Row],[Row Num]], " ")</f>
        <v>58</v>
      </c>
      <c r="AB64" s="444">
        <f>IF(0=Devices[[#This Row],[Input Type]], Devices[[#This Row],[Row Num]], " ")</f>
        <v>58</v>
      </c>
      <c r="AC64" s="444" t="str">
        <f>IFERROR(SMALL(Devices[Row Sel D], Devices[[#This Row],[Row Num]]), " ")</f>
        <v xml:space="preserve"> </v>
      </c>
      <c r="AD64" s="444" t="str">
        <f>IFERROR(SMALL(Devices[Row Sel SE], Devices[[#This Row],[Row Num]]), " ")</f>
        <v xml:space="preserve"> </v>
      </c>
      <c r="AE64" s="444" t="str">
        <f>IFERROR(SMALL(Devices[Row Sel N], Devices[[#This Row],[Row Num]]), " ")</f>
        <v xml:space="preserve"> </v>
      </c>
      <c r="AF64" s="444" t="str">
        <f>IFERROR(INDEX(Devices[Part], Devices[[#This Row],[Sel D]], 1), "")</f>
        <v/>
      </c>
      <c r="AG64" s="444" t="str">
        <f>IFERROR(INDEX(Devices[Part], Devices[[#This Row],[Sel SE]], 1), "")</f>
        <v/>
      </c>
      <c r="AH64" s="444" t="str">
        <f>IFERROR(INDEX(Devices[Part], Devices[[#This Row],[Sel N]], 1), "")</f>
        <v/>
      </c>
    </row>
    <row r="65" spans="1:38" ht="15" hidden="1" customHeight="1">
      <c r="A65" s="362"/>
      <c r="B65" s="377"/>
      <c r="C65" s="481" t="s">
        <v>51</v>
      </c>
      <c r="D65" s="446"/>
      <c r="E65" s="446"/>
      <c r="F65" s="447"/>
      <c r="G65" s="447"/>
      <c r="H65" s="448"/>
      <c r="I65" s="448"/>
      <c r="J65" s="449"/>
      <c r="K65" s="449"/>
      <c r="L65" s="446"/>
      <c r="M65" s="446"/>
      <c r="N65" s="447"/>
      <c r="O65" s="447"/>
      <c r="P65" s="450"/>
      <c r="Q65" s="451"/>
      <c r="R65" s="451"/>
      <c r="S65" s="451"/>
      <c r="T65" s="452"/>
      <c r="U65" s="452"/>
      <c r="V65" s="453"/>
      <c r="W65" s="453"/>
      <c r="X65" s="454"/>
      <c r="Y65" s="444">
        <f t="shared" si="2"/>
        <v>59</v>
      </c>
      <c r="Z65" s="444">
        <f>IF(OR($AL$75=Devices[[#This Row],[Input Type]], 0=Devices[[#This Row],[Input Type]]),Devices[[#This Row],[Row Num]], " ")</f>
        <v>59</v>
      </c>
      <c r="AA65" s="444">
        <f>IF(OR($AL$76=Devices[[#This Row],[Input Type]], 0=Devices[[#This Row],[Input Type]]),Devices[[#This Row],[Row Num]], " ")</f>
        <v>59</v>
      </c>
      <c r="AB65" s="444">
        <f>IF(0=Devices[[#This Row],[Input Type]], Devices[[#This Row],[Row Num]], " ")</f>
        <v>59</v>
      </c>
      <c r="AC65" s="444" t="str">
        <f>IFERROR(SMALL(Devices[Row Sel D], Devices[[#This Row],[Row Num]]), " ")</f>
        <v xml:space="preserve"> </v>
      </c>
      <c r="AD65" s="444" t="str">
        <f>IFERROR(SMALL(Devices[Row Sel SE], Devices[[#This Row],[Row Num]]), " ")</f>
        <v xml:space="preserve"> </v>
      </c>
      <c r="AE65" s="444" t="str">
        <f>IFERROR(SMALL(Devices[Row Sel N], Devices[[#This Row],[Row Num]]), " ")</f>
        <v xml:space="preserve"> </v>
      </c>
      <c r="AF65" s="444" t="str">
        <f>IFERROR(INDEX(Devices[Part], Devices[[#This Row],[Sel D]], 1), "")</f>
        <v/>
      </c>
      <c r="AG65" s="444" t="str">
        <f>IFERROR(INDEX(Devices[Part], Devices[[#This Row],[Sel SE]], 1), "")</f>
        <v/>
      </c>
      <c r="AH65" s="444" t="str">
        <f>IFERROR(INDEX(Devices[Part], Devices[[#This Row],[Sel N]], 1), "")</f>
        <v/>
      </c>
      <c r="AJ65" s="347"/>
    </row>
    <row r="66" spans="1:38" ht="15" hidden="1" customHeight="1">
      <c r="A66" s="362"/>
      <c r="B66" s="377"/>
      <c r="C66" s="481" t="s">
        <v>51</v>
      </c>
      <c r="D66" s="446"/>
      <c r="E66" s="446"/>
      <c r="F66" s="447"/>
      <c r="G66" s="447"/>
      <c r="H66" s="448"/>
      <c r="I66" s="448"/>
      <c r="J66" s="449"/>
      <c r="K66" s="449"/>
      <c r="L66" s="446"/>
      <c r="M66" s="446"/>
      <c r="N66" s="447"/>
      <c r="O66" s="447"/>
      <c r="P66" s="450"/>
      <c r="Q66" s="455"/>
      <c r="R66" s="455"/>
      <c r="S66" s="455"/>
      <c r="T66" s="452"/>
      <c r="U66" s="452"/>
      <c r="V66" s="456"/>
      <c r="W66" s="456"/>
      <c r="X66" s="454"/>
      <c r="Y66" s="444">
        <f t="shared" si="2"/>
        <v>60</v>
      </c>
      <c r="Z66" s="444">
        <f>IF(OR($AL$75=Devices[[#This Row],[Input Type]], 0=Devices[[#This Row],[Input Type]]),Devices[[#This Row],[Row Num]], " ")</f>
        <v>60</v>
      </c>
      <c r="AA66" s="444">
        <f>IF(OR($AL$76=Devices[[#This Row],[Input Type]], 0=Devices[[#This Row],[Input Type]]),Devices[[#This Row],[Row Num]], " ")</f>
        <v>60</v>
      </c>
      <c r="AB66" s="444">
        <f>IF(0=Devices[[#This Row],[Input Type]], Devices[[#This Row],[Row Num]], " ")</f>
        <v>60</v>
      </c>
      <c r="AC66" s="444" t="str">
        <f>IFERROR(SMALL(Devices[Row Sel D], Devices[[#This Row],[Row Num]]), " ")</f>
        <v xml:space="preserve"> </v>
      </c>
      <c r="AD66" s="444" t="str">
        <f>IFERROR(SMALL(Devices[Row Sel SE], Devices[[#This Row],[Row Num]]), " ")</f>
        <v xml:space="preserve"> </v>
      </c>
      <c r="AE66" s="444" t="str">
        <f>IFERROR(SMALL(Devices[Row Sel N], Devices[[#This Row],[Row Num]]), " ")</f>
        <v xml:space="preserve"> </v>
      </c>
      <c r="AF66" s="444" t="str">
        <f>IFERROR(INDEX(Devices[Part], Devices[[#This Row],[Sel D]], 1), "")</f>
        <v/>
      </c>
      <c r="AG66" s="444" t="str">
        <f>IFERROR(INDEX(Devices[Part], Devices[[#This Row],[Sel SE]], 1), "")</f>
        <v/>
      </c>
      <c r="AH66" s="444" t="str">
        <f>IFERROR(INDEX(Devices[Part], Devices[[#This Row],[Sel N]], 1), "")</f>
        <v/>
      </c>
    </row>
    <row r="67" spans="1:38" ht="15" hidden="1" customHeight="1">
      <c r="A67" s="362"/>
      <c r="B67" s="377"/>
      <c r="C67" s="481" t="s">
        <v>51</v>
      </c>
      <c r="D67" s="446"/>
      <c r="E67" s="446"/>
      <c r="F67" s="447"/>
      <c r="G67" s="447"/>
      <c r="H67" s="448"/>
      <c r="I67" s="448"/>
      <c r="J67" s="449"/>
      <c r="K67" s="449"/>
      <c r="L67" s="446"/>
      <c r="M67" s="446"/>
      <c r="N67" s="447"/>
      <c r="O67" s="447"/>
      <c r="P67" s="450"/>
      <c r="Q67" s="455"/>
      <c r="R67" s="455"/>
      <c r="S67" s="455"/>
      <c r="T67" s="452"/>
      <c r="U67" s="452"/>
      <c r="V67" s="456"/>
      <c r="W67" s="456"/>
      <c r="X67" s="454"/>
      <c r="Y67" s="444">
        <f t="shared" si="2"/>
        <v>61</v>
      </c>
      <c r="Z67" s="444">
        <f>IF(OR($AL$75=Devices[[#This Row],[Input Type]], 0=Devices[[#This Row],[Input Type]]),Devices[[#This Row],[Row Num]], " ")</f>
        <v>61</v>
      </c>
      <c r="AA67" s="444">
        <f>IF(OR($AL$76=Devices[[#This Row],[Input Type]], 0=Devices[[#This Row],[Input Type]]),Devices[[#This Row],[Row Num]], " ")</f>
        <v>61</v>
      </c>
      <c r="AB67" s="444">
        <f>IF(0=Devices[[#This Row],[Input Type]], Devices[[#This Row],[Row Num]], " ")</f>
        <v>61</v>
      </c>
      <c r="AC67" s="444" t="str">
        <f>IFERROR(SMALL(Devices[Row Sel D], Devices[[#This Row],[Row Num]]), " ")</f>
        <v xml:space="preserve"> </v>
      </c>
      <c r="AD67" s="444" t="str">
        <f>IFERROR(SMALL(Devices[Row Sel SE], Devices[[#This Row],[Row Num]]), " ")</f>
        <v xml:space="preserve"> </v>
      </c>
      <c r="AE67" s="444" t="str">
        <f>IFERROR(SMALL(Devices[Row Sel N], Devices[[#This Row],[Row Num]]), " ")</f>
        <v xml:space="preserve"> </v>
      </c>
      <c r="AF67" s="444" t="str">
        <f>IFERROR(INDEX(Devices[Part], Devices[[#This Row],[Sel D]], 1), "")</f>
        <v/>
      </c>
      <c r="AG67" s="444" t="str">
        <f>IFERROR(INDEX(Devices[Part], Devices[[#This Row],[Sel SE]], 1), "")</f>
        <v/>
      </c>
      <c r="AH67" s="444" t="str">
        <f>IFERROR(INDEX(Devices[Part], Devices[[#This Row],[Sel N]], 1), "")</f>
        <v/>
      </c>
    </row>
    <row r="68" spans="1:38" ht="15" hidden="1" customHeight="1">
      <c r="A68" s="362"/>
      <c r="B68" s="377"/>
      <c r="C68" s="481" t="s">
        <v>51</v>
      </c>
      <c r="D68" s="446"/>
      <c r="E68" s="446"/>
      <c r="F68" s="447"/>
      <c r="G68" s="447"/>
      <c r="H68" s="448"/>
      <c r="I68" s="448"/>
      <c r="J68" s="449"/>
      <c r="K68" s="449"/>
      <c r="L68" s="446"/>
      <c r="M68" s="446"/>
      <c r="N68" s="447"/>
      <c r="O68" s="447"/>
      <c r="P68" s="450"/>
      <c r="Q68" s="455"/>
      <c r="R68" s="455"/>
      <c r="S68" s="455"/>
      <c r="T68" s="452"/>
      <c r="U68" s="452"/>
      <c r="V68" s="456"/>
      <c r="W68" s="456"/>
      <c r="X68" s="454"/>
      <c r="Y68" s="444">
        <f t="shared" si="2"/>
        <v>62</v>
      </c>
      <c r="Z68" s="444">
        <f>IF(OR($AL$75=Devices[[#This Row],[Input Type]], 0=Devices[[#This Row],[Input Type]]),Devices[[#This Row],[Row Num]], " ")</f>
        <v>62</v>
      </c>
      <c r="AA68" s="444">
        <f>IF(OR($AL$76=Devices[[#This Row],[Input Type]], 0=Devices[[#This Row],[Input Type]]),Devices[[#This Row],[Row Num]], " ")</f>
        <v>62</v>
      </c>
      <c r="AB68" s="444">
        <f>IF(0=Devices[[#This Row],[Input Type]], Devices[[#This Row],[Row Num]], " ")</f>
        <v>62</v>
      </c>
      <c r="AC68" s="444" t="str">
        <f>IFERROR(SMALL(Devices[Row Sel D], Devices[[#This Row],[Row Num]]), " ")</f>
        <v xml:space="preserve"> </v>
      </c>
      <c r="AD68" s="444" t="str">
        <f>IFERROR(SMALL(Devices[Row Sel SE], Devices[[#This Row],[Row Num]]), " ")</f>
        <v xml:space="preserve"> </v>
      </c>
      <c r="AE68" s="444" t="str">
        <f>IFERROR(SMALL(Devices[Row Sel N], Devices[[#This Row],[Row Num]]), " ")</f>
        <v xml:space="preserve"> </v>
      </c>
      <c r="AF68" s="444" t="str">
        <f>IFERROR(INDEX(Devices[Part], Devices[[#This Row],[Sel D]], 1), "")</f>
        <v/>
      </c>
      <c r="AG68" s="444" t="str">
        <f>IFERROR(INDEX(Devices[Part], Devices[[#This Row],[Sel SE]], 1), "")</f>
        <v/>
      </c>
      <c r="AH68" s="444" t="str">
        <f>IFERROR(INDEX(Devices[Part], Devices[[#This Row],[Sel N]], 1), "")</f>
        <v/>
      </c>
      <c r="AJ68" s="347"/>
    </row>
    <row r="69" spans="1:38" ht="15" hidden="1" customHeight="1">
      <c r="A69" s="362"/>
      <c r="B69" s="377"/>
      <c r="C69" s="481" t="s">
        <v>51</v>
      </c>
      <c r="D69" s="446"/>
      <c r="E69" s="446"/>
      <c r="F69" s="447"/>
      <c r="G69" s="447"/>
      <c r="H69" s="448"/>
      <c r="I69" s="448"/>
      <c r="J69" s="449"/>
      <c r="K69" s="449"/>
      <c r="L69" s="446"/>
      <c r="M69" s="446"/>
      <c r="N69" s="447"/>
      <c r="O69" s="447"/>
      <c r="P69" s="450"/>
      <c r="Q69" s="451"/>
      <c r="R69" s="451"/>
      <c r="S69" s="451"/>
      <c r="T69" s="452"/>
      <c r="U69" s="452"/>
      <c r="V69" s="453"/>
      <c r="W69" s="453"/>
      <c r="X69" s="454"/>
      <c r="Y69" s="444">
        <f t="shared" si="2"/>
        <v>63</v>
      </c>
      <c r="Z69" s="444">
        <f>IF(OR($AL$75=Devices[[#This Row],[Input Type]], 0=Devices[[#This Row],[Input Type]]),Devices[[#This Row],[Row Num]], " ")</f>
        <v>63</v>
      </c>
      <c r="AA69" s="444">
        <f>IF(OR($AL$76=Devices[[#This Row],[Input Type]], 0=Devices[[#This Row],[Input Type]]),Devices[[#This Row],[Row Num]], " ")</f>
        <v>63</v>
      </c>
      <c r="AB69" s="444">
        <f>IF(0=Devices[[#This Row],[Input Type]], Devices[[#This Row],[Row Num]], " ")</f>
        <v>63</v>
      </c>
      <c r="AC69" s="444" t="str">
        <f>IFERROR(SMALL(Devices[Row Sel D], Devices[[#This Row],[Row Num]]), " ")</f>
        <v xml:space="preserve"> </v>
      </c>
      <c r="AD69" s="444" t="str">
        <f>IFERROR(SMALL(Devices[Row Sel SE], Devices[[#This Row],[Row Num]]), " ")</f>
        <v xml:space="preserve"> </v>
      </c>
      <c r="AE69" s="444" t="str">
        <f>IFERROR(SMALL(Devices[Row Sel N], Devices[[#This Row],[Row Num]]), " ")</f>
        <v xml:space="preserve"> </v>
      </c>
      <c r="AF69" s="444" t="str">
        <f>IFERROR(INDEX(Devices[Part], Devices[[#This Row],[Sel D]], 1), "")</f>
        <v/>
      </c>
      <c r="AG69" s="444" t="str">
        <f>IFERROR(INDEX(Devices[Part], Devices[[#This Row],[Sel SE]], 1), "")</f>
        <v/>
      </c>
      <c r="AH69" s="444" t="str">
        <f>IFERROR(INDEX(Devices[Part], Devices[[#This Row],[Sel N]], 1), "")</f>
        <v/>
      </c>
    </row>
    <row r="70" spans="1:38" ht="15" hidden="1" customHeight="1">
      <c r="A70" s="362"/>
      <c r="B70" s="377"/>
      <c r="C70" s="481" t="s">
        <v>51</v>
      </c>
      <c r="D70" s="446"/>
      <c r="E70" s="446"/>
      <c r="F70" s="447"/>
      <c r="G70" s="447"/>
      <c r="H70" s="448"/>
      <c r="I70" s="448"/>
      <c r="J70" s="449"/>
      <c r="K70" s="449"/>
      <c r="L70" s="446"/>
      <c r="M70" s="446"/>
      <c r="N70" s="447"/>
      <c r="O70" s="447"/>
      <c r="P70" s="450"/>
      <c r="Q70" s="451"/>
      <c r="R70" s="451"/>
      <c r="S70" s="451"/>
      <c r="T70" s="452"/>
      <c r="U70" s="452"/>
      <c r="V70" s="453"/>
      <c r="W70" s="453"/>
      <c r="X70" s="454"/>
      <c r="Y70" s="345">
        <f t="shared" si="0"/>
        <v>64</v>
      </c>
      <c r="Z70" s="345">
        <f>IF(OR($AL$75=Devices[[#This Row],[Input Type]], 0=Devices[[#This Row],[Input Type]]),Devices[[#This Row],[Row Num]], " ")</f>
        <v>64</v>
      </c>
      <c r="AA70" s="345">
        <f>IF(OR($AL$76=Devices[[#This Row],[Input Type]], 0=Devices[[#This Row],[Input Type]]),Devices[[#This Row],[Row Num]], " ")</f>
        <v>64</v>
      </c>
      <c r="AB70" s="345">
        <f>IF(0=Devices[[#This Row],[Input Type]], Devices[[#This Row],[Row Num]], " ")</f>
        <v>64</v>
      </c>
      <c r="AC70" s="346" t="str">
        <f>IFERROR(SMALL(Devices[Row Sel D], Devices[[#This Row],[Row Num]]), " ")</f>
        <v xml:space="preserve"> </v>
      </c>
      <c r="AD70" s="346" t="str">
        <f>IFERROR(SMALL(Devices[Row Sel SE], Devices[[#This Row],[Row Num]]), " ")</f>
        <v xml:space="preserve"> </v>
      </c>
      <c r="AE70" s="346" t="str">
        <f>IFERROR(SMALL(Devices[Row Sel N], Devices[[#This Row],[Row Num]]), " ")</f>
        <v xml:space="preserve"> </v>
      </c>
      <c r="AF70" s="346"/>
      <c r="AG70" s="346" t="str">
        <f>IFERROR(INDEX(Devices[Part], Devices[[#This Row],[Sel SE]], 1), "")</f>
        <v/>
      </c>
      <c r="AH70" s="346" t="str">
        <f>IFERROR(INDEX(Devices[Part], Devices[[#This Row],[Sel N]], 1), "")</f>
        <v/>
      </c>
    </row>
    <row r="71" spans="1:38" ht="15" hidden="1" customHeight="1">
      <c r="A71" s="362"/>
      <c r="B71" s="377"/>
      <c r="C71" s="481" t="s">
        <v>51</v>
      </c>
      <c r="D71" s="446"/>
      <c r="E71" s="446"/>
      <c r="F71" s="447"/>
      <c r="G71" s="447"/>
      <c r="H71" s="448"/>
      <c r="I71" s="448"/>
      <c r="J71" s="449"/>
      <c r="K71" s="449"/>
      <c r="L71" s="446"/>
      <c r="M71" s="446"/>
      <c r="N71" s="447"/>
      <c r="O71" s="447"/>
      <c r="P71" s="450"/>
      <c r="Q71" s="451"/>
      <c r="R71" s="451"/>
      <c r="S71" s="451"/>
      <c r="T71" s="452"/>
      <c r="U71" s="452"/>
      <c r="V71" s="453"/>
      <c r="W71" s="453"/>
      <c r="X71" s="454"/>
      <c r="Y71" s="345">
        <f t="shared" si="0"/>
        <v>65</v>
      </c>
      <c r="Z71" s="345">
        <f>IF(OR($AL$75=Devices[[#This Row],[Input Type]], 0=Devices[[#This Row],[Input Type]]),Devices[[#This Row],[Row Num]], " ")</f>
        <v>65</v>
      </c>
      <c r="AA71" s="345">
        <f>IF(OR($AL$76=Devices[[#This Row],[Input Type]], 0=Devices[[#This Row],[Input Type]]),Devices[[#This Row],[Row Num]], " ")</f>
        <v>65</v>
      </c>
      <c r="AB71" s="345">
        <f>IF(0=Devices[[#This Row],[Input Type]], Devices[[#This Row],[Row Num]], " ")</f>
        <v>65</v>
      </c>
      <c r="AC71" s="346" t="str">
        <f>IFERROR(SMALL(Devices[Row Sel D], Devices[[#This Row],[Row Num]]), " ")</f>
        <v xml:space="preserve"> </v>
      </c>
      <c r="AD71" s="346" t="str">
        <f>IFERROR(SMALL(Devices[Row Sel SE], Devices[[#This Row],[Row Num]]), " ")</f>
        <v xml:space="preserve"> </v>
      </c>
      <c r="AE71" s="346" t="str">
        <f>IFERROR(SMALL(Devices[Row Sel N], Devices[[#This Row],[Row Num]]), " ")</f>
        <v xml:space="preserve"> </v>
      </c>
      <c r="AF71" s="346"/>
      <c r="AG71" s="346" t="str">
        <f>IFERROR(INDEX(Devices[Part], Devices[[#This Row],[Sel SE]], 1), "")</f>
        <v/>
      </c>
      <c r="AH71" s="346" t="str">
        <f>IFERROR(INDEX(Devices[Part], Devices[[#This Row],[Sel N]], 1), "")</f>
        <v/>
      </c>
    </row>
    <row r="72" spans="1:38" ht="15" hidden="1" customHeight="1">
      <c r="A72" s="362"/>
      <c r="B72" s="377"/>
      <c r="C72" s="481" t="s">
        <v>51</v>
      </c>
      <c r="D72" s="446"/>
      <c r="E72" s="446"/>
      <c r="F72" s="447"/>
      <c r="G72" s="447"/>
      <c r="H72" s="448"/>
      <c r="I72" s="448"/>
      <c r="J72" s="449"/>
      <c r="K72" s="449"/>
      <c r="L72" s="446"/>
      <c r="M72" s="446"/>
      <c r="N72" s="447"/>
      <c r="O72" s="447"/>
      <c r="P72" s="450"/>
      <c r="Q72" s="455"/>
      <c r="R72" s="455"/>
      <c r="S72" s="455"/>
      <c r="T72" s="452"/>
      <c r="U72" s="452"/>
      <c r="V72" s="456"/>
      <c r="W72" s="456"/>
      <c r="X72" s="454"/>
      <c r="Y72" s="345">
        <f t="shared" si="0"/>
        <v>66</v>
      </c>
      <c r="Z72" s="345">
        <f>IF(OR($AL$75=Devices[[#This Row],[Input Type]], 0=Devices[[#This Row],[Input Type]]),Devices[[#This Row],[Row Num]], " ")</f>
        <v>66</v>
      </c>
      <c r="AA72" s="345">
        <f>IF(OR($AL$76=Devices[[#This Row],[Input Type]], 0=Devices[[#This Row],[Input Type]]),Devices[[#This Row],[Row Num]], " ")</f>
        <v>66</v>
      </c>
      <c r="AB72" s="345">
        <f>IF(0=Devices[[#This Row],[Input Type]], Devices[[#This Row],[Row Num]], " ")</f>
        <v>66</v>
      </c>
      <c r="AC72" s="346" t="str">
        <f>IFERROR(SMALL(Devices[Row Sel D], Devices[[#This Row],[Row Num]]), " ")</f>
        <v xml:space="preserve"> </v>
      </c>
      <c r="AD72" s="346" t="str">
        <f>IFERROR(SMALL(Devices[Row Sel SE], Devices[[#This Row],[Row Num]]), " ")</f>
        <v xml:space="preserve"> </v>
      </c>
      <c r="AE72" s="346" t="str">
        <f>IFERROR(SMALL(Devices[Row Sel N], Devices[[#This Row],[Row Num]]), " ")</f>
        <v xml:space="preserve"> </v>
      </c>
      <c r="AF72" s="346"/>
      <c r="AG72" s="346" t="str">
        <f>IFERROR(INDEX(Devices[Part], Devices[[#This Row],[Sel SE]], 1), "")</f>
        <v/>
      </c>
      <c r="AH72" s="346" t="str">
        <f>IFERROR(INDEX(Devices[Part], Devices[[#This Row],[Sel N]], 1), "")</f>
        <v/>
      </c>
      <c r="AJ72" s="347"/>
    </row>
    <row r="73" spans="1:38" ht="15" hidden="1" customHeight="1">
      <c r="A73" s="387" t="s">
        <v>339</v>
      </c>
      <c r="B73" s="339" t="s">
        <v>52</v>
      </c>
      <c r="C73" s="481" t="s">
        <v>51</v>
      </c>
      <c r="D73" s="438">
        <v>1.6999999999999999E-3</v>
      </c>
      <c r="E73" s="438">
        <v>5.0000000000000001E-3</v>
      </c>
      <c r="F73" s="439">
        <v>35</v>
      </c>
      <c r="G73" s="439">
        <v>105</v>
      </c>
      <c r="H73" s="440">
        <v>0.3</v>
      </c>
      <c r="I73" s="440">
        <v>9.9</v>
      </c>
      <c r="J73" s="441">
        <v>21</v>
      </c>
      <c r="K73" s="441">
        <v>63</v>
      </c>
      <c r="L73" s="438">
        <v>5.0000000000000001E-4</v>
      </c>
      <c r="M73" s="438">
        <v>1E-3</v>
      </c>
      <c r="N73" s="439">
        <v>2</v>
      </c>
      <c r="O73" s="439">
        <v>6</v>
      </c>
      <c r="P73" s="442">
        <v>2000</v>
      </c>
      <c r="Q73" s="443"/>
      <c r="R73" s="445">
        <v>-40</v>
      </c>
      <c r="S73" s="445">
        <v>105</v>
      </c>
      <c r="T73" s="435"/>
      <c r="U73" s="435">
        <v>1000000000</v>
      </c>
      <c r="V73" s="435">
        <v>1000000000</v>
      </c>
      <c r="W73" s="436">
        <v>1</v>
      </c>
      <c r="X73" s="437">
        <v>0.1</v>
      </c>
      <c r="Y73" s="345">
        <f t="shared" si="0"/>
        <v>67</v>
      </c>
      <c r="Z73" s="345" t="str">
        <f>IF(OR($AL$75=Devices[[#This Row],[Input Type]], 0=Devices[[#This Row],[Input Type]]),Devices[[#This Row],[Row Num]], " ")</f>
        <v xml:space="preserve"> </v>
      </c>
      <c r="AA73" s="345">
        <f>IF(OR($AL$76=Devices[[#This Row],[Input Type]], 0=Devices[[#This Row],[Input Type]]),Devices[[#This Row],[Row Num]], " ")</f>
        <v>67</v>
      </c>
      <c r="AB73" s="345" t="str">
        <f>IF(0=Devices[[#This Row],[Input Type]], Devices[[#This Row],[Row Num]], " ")</f>
        <v xml:space="preserve"> </v>
      </c>
      <c r="AC73" s="346" t="str">
        <f>IFERROR(SMALL(Devices[Row Sel D], Devices[[#This Row],[Row Num]]), " ")</f>
        <v xml:space="preserve"> </v>
      </c>
      <c r="AD73" s="346" t="str">
        <f>IFERROR(SMALL(Devices[Row Sel SE], Devices[[#This Row],[Row Num]]), " ")</f>
        <v xml:space="preserve"> </v>
      </c>
      <c r="AE73" s="346" t="str">
        <f>IFERROR(SMALL(Devices[Row Sel N], Devices[[#This Row],[Row Num]]), " ")</f>
        <v xml:space="preserve"> </v>
      </c>
      <c r="AF73" s="346"/>
      <c r="AG73" s="346" t="str">
        <f>IFERROR(INDEX(Devices[Part], Devices[[#This Row],[Sel SE]], 1), "")</f>
        <v/>
      </c>
      <c r="AH73" s="346" t="str">
        <f>IFERROR(INDEX(Devices[Part], Devices[[#This Row],[Sel N]], 1), "")</f>
        <v/>
      </c>
      <c r="AL73" s="187" t="s">
        <v>50</v>
      </c>
    </row>
    <row r="74" spans="1:38" ht="15" hidden="1" customHeight="1">
      <c r="A74" s="387" t="s">
        <v>340</v>
      </c>
      <c r="B74" s="339" t="s">
        <v>52</v>
      </c>
      <c r="C74" s="481" t="s">
        <v>51</v>
      </c>
      <c r="D74" s="438">
        <v>3.3E-3</v>
      </c>
      <c r="E74" s="438">
        <v>0.01</v>
      </c>
      <c r="F74" s="439">
        <v>35</v>
      </c>
      <c r="G74" s="439">
        <v>105</v>
      </c>
      <c r="H74" s="440">
        <v>0.3</v>
      </c>
      <c r="I74" s="440">
        <v>9.9</v>
      </c>
      <c r="J74" s="441">
        <v>21</v>
      </c>
      <c r="K74" s="441">
        <v>63</v>
      </c>
      <c r="L74" s="438">
        <v>5.0000000000000001E-4</v>
      </c>
      <c r="M74" s="438">
        <v>1E-3</v>
      </c>
      <c r="N74" s="439">
        <v>2</v>
      </c>
      <c r="O74" s="439">
        <v>6</v>
      </c>
      <c r="P74" s="442">
        <v>2000</v>
      </c>
      <c r="Q74" s="443"/>
      <c r="R74" s="445">
        <v>-40</v>
      </c>
      <c r="S74" s="445">
        <v>105</v>
      </c>
      <c r="T74" s="435"/>
      <c r="U74" s="435">
        <v>1000000000</v>
      </c>
      <c r="V74" s="435">
        <v>1000000000</v>
      </c>
      <c r="W74" s="436">
        <v>1</v>
      </c>
      <c r="X74" s="437">
        <v>0.1</v>
      </c>
      <c r="Y74" s="345">
        <f t="shared" si="0"/>
        <v>68</v>
      </c>
      <c r="Z74" s="345" t="str">
        <f>IF(OR($AL$75=Devices[[#This Row],[Input Type]], 0=Devices[[#This Row],[Input Type]]),Devices[[#This Row],[Row Num]], " ")</f>
        <v xml:space="preserve"> </v>
      </c>
      <c r="AA74" s="345">
        <f>IF(OR($AL$76=Devices[[#This Row],[Input Type]], 0=Devices[[#This Row],[Input Type]]),Devices[[#This Row],[Row Num]], " ")</f>
        <v>68</v>
      </c>
      <c r="AB74" s="345" t="str">
        <f>IF(0=Devices[[#This Row],[Input Type]], Devices[[#This Row],[Row Num]], " ")</f>
        <v xml:space="preserve"> </v>
      </c>
      <c r="AC74" s="346" t="str">
        <f>IFERROR(SMALL(Devices[Row Sel D], Devices[[#This Row],[Row Num]]), " ")</f>
        <v xml:space="preserve"> </v>
      </c>
      <c r="AD74" s="346" t="str">
        <f>IFERROR(SMALL(Devices[Row Sel SE], Devices[[#This Row],[Row Num]]), " ")</f>
        <v xml:space="preserve"> </v>
      </c>
      <c r="AE74" s="346" t="str">
        <f>IFERROR(SMALL(Devices[Row Sel N], Devices[[#This Row],[Row Num]]), " ")</f>
        <v xml:space="preserve"> </v>
      </c>
      <c r="AF74" s="346"/>
      <c r="AG74" s="346" t="str">
        <f>IFERROR(INDEX(Devices[Part], Devices[[#This Row],[Sel SE]], 1), "")</f>
        <v/>
      </c>
      <c r="AH74" s="346" t="str">
        <f>IFERROR(INDEX(Devices[Part], Devices[[#This Row],[Sel N]], 1), "")</f>
        <v/>
      </c>
    </row>
    <row r="75" spans="1:38" ht="15" hidden="1" customHeight="1">
      <c r="A75" s="387" t="s">
        <v>341</v>
      </c>
      <c r="B75" s="339" t="s">
        <v>52</v>
      </c>
      <c r="C75" s="481" t="s">
        <v>51</v>
      </c>
      <c r="D75" s="438">
        <v>0.01</v>
      </c>
      <c r="E75" s="438">
        <v>0.03</v>
      </c>
      <c r="F75" s="439">
        <v>35</v>
      </c>
      <c r="G75" s="439">
        <v>105</v>
      </c>
      <c r="H75" s="440">
        <v>0.3</v>
      </c>
      <c r="I75" s="440">
        <v>9.9</v>
      </c>
      <c r="J75" s="441">
        <v>21</v>
      </c>
      <c r="K75" s="441">
        <v>63</v>
      </c>
      <c r="L75" s="438">
        <v>5.0000000000000001E-4</v>
      </c>
      <c r="M75" s="438">
        <v>1E-3</v>
      </c>
      <c r="N75" s="439">
        <v>2</v>
      </c>
      <c r="O75" s="439">
        <v>6</v>
      </c>
      <c r="P75" s="442">
        <v>2000</v>
      </c>
      <c r="Q75" s="443"/>
      <c r="R75" s="445">
        <v>-40</v>
      </c>
      <c r="S75" s="445">
        <v>105</v>
      </c>
      <c r="T75" s="435"/>
      <c r="U75" s="435">
        <v>1000000000</v>
      </c>
      <c r="V75" s="435">
        <v>1000000000</v>
      </c>
      <c r="W75" s="436">
        <v>1</v>
      </c>
      <c r="X75" s="437">
        <v>0.1</v>
      </c>
      <c r="Y75" s="345">
        <f t="shared" si="0"/>
        <v>69</v>
      </c>
      <c r="Z75" s="345" t="str">
        <f>IF(OR($AL$75=Devices[[#This Row],[Input Type]], 0=Devices[[#This Row],[Input Type]]),Devices[[#This Row],[Row Num]], " ")</f>
        <v xml:space="preserve"> </v>
      </c>
      <c r="AA75" s="345">
        <f>IF(OR($AL$76=Devices[[#This Row],[Input Type]], 0=Devices[[#This Row],[Input Type]]),Devices[[#This Row],[Row Num]], " ")</f>
        <v>69</v>
      </c>
      <c r="AB75" s="345" t="str">
        <f>IF(0=Devices[[#This Row],[Input Type]], Devices[[#This Row],[Row Num]], " ")</f>
        <v xml:space="preserve"> </v>
      </c>
      <c r="AC75" s="346" t="str">
        <f>IFERROR(SMALL(Devices[Row Sel D], Devices[[#This Row],[Row Num]]), " ")</f>
        <v xml:space="preserve"> </v>
      </c>
      <c r="AD75" s="346" t="str">
        <f>IFERROR(SMALL(Devices[Row Sel SE], Devices[[#This Row],[Row Num]]), " ")</f>
        <v xml:space="preserve"> </v>
      </c>
      <c r="AE75" s="361" t="str">
        <f>IFERROR(SMALL(Devices[Row Sel N], Devices[[#This Row],[Row Num]]), " ")</f>
        <v xml:space="preserve"> </v>
      </c>
      <c r="AF75" s="346"/>
      <c r="AG75" s="346" t="str">
        <f>IFERROR(INDEX(Devices[Part], Devices[[#This Row],[Sel SE]], 1), "")</f>
        <v/>
      </c>
      <c r="AH75" s="346" t="str">
        <f>IFERROR(INDEX(Devices[Part], Devices[[#This Row],[Sel N]], 1), "")</f>
        <v/>
      </c>
      <c r="AL75" s="187" t="s">
        <v>51</v>
      </c>
    </row>
    <row r="76" spans="1:38" ht="15" hidden="1" customHeight="1">
      <c r="A76" s="387" t="s">
        <v>342</v>
      </c>
      <c r="B76" s="339" t="s">
        <v>52</v>
      </c>
      <c r="C76" s="481" t="s">
        <v>51</v>
      </c>
      <c r="D76" s="438">
        <v>5.0000000000000001E-4</v>
      </c>
      <c r="E76" s="438">
        <v>3.0000000000000001E-3</v>
      </c>
      <c r="F76" s="439">
        <v>5</v>
      </c>
      <c r="G76" s="439">
        <v>45</v>
      </c>
      <c r="H76" s="440">
        <v>0.4</v>
      </c>
      <c r="I76" s="440">
        <v>1.5</v>
      </c>
      <c r="J76" s="441">
        <v>10</v>
      </c>
      <c r="K76" s="441">
        <v>30</v>
      </c>
      <c r="L76" s="438">
        <v>1E-4</v>
      </c>
      <c r="M76" s="438">
        <v>4.0000000000000002E-4</v>
      </c>
      <c r="N76" s="439">
        <v>1</v>
      </c>
      <c r="O76" s="439">
        <v>3</v>
      </c>
      <c r="P76" s="442">
        <v>2000</v>
      </c>
      <c r="Q76" s="443"/>
      <c r="R76" s="445">
        <v>-40</v>
      </c>
      <c r="S76" s="445">
        <v>125</v>
      </c>
      <c r="T76" s="435"/>
      <c r="U76" s="435">
        <v>1000000000</v>
      </c>
      <c r="V76" s="435">
        <v>1000000000</v>
      </c>
      <c r="W76" s="436">
        <v>1</v>
      </c>
      <c r="X76" s="360">
        <v>1.4999999999999999E-2</v>
      </c>
      <c r="Y76" s="345">
        <f t="shared" si="0"/>
        <v>70</v>
      </c>
      <c r="Z76" s="345" t="str">
        <f>IF(OR($AL$75=Devices[[#This Row],[Input Type]], 0=Devices[[#This Row],[Input Type]]),Devices[[#This Row],[Row Num]], " ")</f>
        <v xml:space="preserve"> </v>
      </c>
      <c r="AA76" s="345">
        <f>IF(OR($AL$76=Devices[[#This Row],[Input Type]], 0=Devices[[#This Row],[Input Type]]),Devices[[#This Row],[Row Num]], " ")</f>
        <v>70</v>
      </c>
      <c r="AB76" s="345" t="str">
        <f>IF(0=Devices[[#This Row],[Input Type]], Devices[[#This Row],[Row Num]], " ")</f>
        <v xml:space="preserve"> </v>
      </c>
      <c r="AC76" s="346" t="str">
        <f>IFERROR(SMALL(Devices[Row Sel D], Devices[[#This Row],[Row Num]]), " ")</f>
        <v xml:space="preserve"> </v>
      </c>
      <c r="AD76" s="346" t="str">
        <f>IFERROR(SMALL(Devices[Row Sel SE], Devices[[#This Row],[Row Num]]), " ")</f>
        <v xml:space="preserve"> </v>
      </c>
      <c r="AE76" s="361" t="str">
        <f>IFERROR(SMALL(Devices[Row Sel N], Devices[[#This Row],[Row Num]]), " ")</f>
        <v xml:space="preserve"> </v>
      </c>
      <c r="AF76" s="346"/>
      <c r="AG76" s="346" t="str">
        <f>IFERROR(INDEX(Devices[Part], Devices[[#This Row],[Sel SE]], 1), "")</f>
        <v/>
      </c>
      <c r="AH76" s="346" t="str">
        <f>IFERROR(INDEX(Devices[Part], Devices[[#This Row],[Sel N]], 1), "")</f>
        <v/>
      </c>
      <c r="AL76" s="187" t="s">
        <v>52</v>
      </c>
    </row>
    <row r="77" spans="1:38" ht="15" hidden="1" customHeight="1">
      <c r="A77" s="387" t="s">
        <v>345</v>
      </c>
      <c r="B77" s="349" t="s">
        <v>52</v>
      </c>
      <c r="C77" s="481" t="s">
        <v>51</v>
      </c>
      <c r="D77" s="438">
        <v>5.0000000000000001E-4</v>
      </c>
      <c r="E77" s="438">
        <v>3.0000000000000001E-3</v>
      </c>
      <c r="F77" s="439">
        <v>5</v>
      </c>
      <c r="G77" s="439">
        <v>45</v>
      </c>
      <c r="H77" s="440">
        <v>0.4</v>
      </c>
      <c r="I77" s="440">
        <v>1.5</v>
      </c>
      <c r="J77" s="441">
        <v>10</v>
      </c>
      <c r="K77" s="441">
        <v>30</v>
      </c>
      <c r="L77" s="438">
        <v>1E-4</v>
      </c>
      <c r="M77" s="438">
        <v>4.0000000000000002E-4</v>
      </c>
      <c r="N77" s="439">
        <v>1</v>
      </c>
      <c r="O77" s="439">
        <v>3</v>
      </c>
      <c r="P77" s="442">
        <v>2000</v>
      </c>
      <c r="Q77" s="443"/>
      <c r="R77" s="445">
        <v>-40</v>
      </c>
      <c r="S77" s="445">
        <v>125</v>
      </c>
      <c r="T77" s="435"/>
      <c r="U77" s="435">
        <v>1000000000</v>
      </c>
      <c r="V77" s="435">
        <v>1000000000</v>
      </c>
      <c r="W77" s="436">
        <v>1</v>
      </c>
      <c r="X77" s="360">
        <v>1.4999999999999999E-2</v>
      </c>
      <c r="Y77" s="444">
        <f>ROW()-6</f>
        <v>71</v>
      </c>
      <c r="Z77" s="444" t="str">
        <f>IF(OR($AL$75=Devices[[#This Row],[Input Type]], 0=Devices[[#This Row],[Input Type]]),Devices[[#This Row],[Row Num]], " ")</f>
        <v xml:space="preserve"> </v>
      </c>
      <c r="AA77" s="444">
        <f>IF(OR($AL$76=Devices[[#This Row],[Input Type]], 0=Devices[[#This Row],[Input Type]]),Devices[[#This Row],[Row Num]], " ")</f>
        <v>71</v>
      </c>
      <c r="AB77" s="444" t="str">
        <f>IF(0=Devices[[#This Row],[Input Type]], Devices[[#This Row],[Row Num]], " ")</f>
        <v xml:space="preserve"> </v>
      </c>
      <c r="AC77" s="444" t="str">
        <f>IFERROR(SMALL(Devices[Row Sel D], Devices[[#This Row],[Row Num]]), " ")</f>
        <v xml:space="preserve"> </v>
      </c>
      <c r="AD77" s="444" t="str">
        <f>IFERROR(SMALL(Devices[Row Sel SE], Devices[[#This Row],[Row Num]]), " ")</f>
        <v xml:space="preserve"> </v>
      </c>
      <c r="AE77" s="444" t="str">
        <f>IFERROR(SMALL(Devices[Row Sel N], Devices[[#This Row],[Row Num]]), " ")</f>
        <v xml:space="preserve"> </v>
      </c>
      <c r="AF77" s="444" t="str">
        <f>IFERROR(INDEX(Devices[Part], Devices[[#This Row],[Sel D]], 1), "")</f>
        <v/>
      </c>
      <c r="AG77" s="444" t="str">
        <f>IFERROR(INDEX(Devices[Part], Devices[[#This Row],[Sel SE]], 1), "")</f>
        <v/>
      </c>
      <c r="AH77" s="444" t="str">
        <f>IFERROR(INDEX(Devices[Part], Devices[[#This Row],[Sel N]], 1), "")</f>
        <v/>
      </c>
    </row>
    <row r="78" spans="1:38" ht="15" hidden="1" customHeight="1">
      <c r="A78" s="387" t="s">
        <v>343</v>
      </c>
      <c r="B78" s="339" t="s">
        <v>52</v>
      </c>
      <c r="C78" s="481" t="s">
        <v>51</v>
      </c>
      <c r="D78" s="438">
        <v>5.9999999999999995E-4</v>
      </c>
      <c r="E78" s="438">
        <v>2.5000000000000001E-3</v>
      </c>
      <c r="F78" s="439">
        <v>6</v>
      </c>
      <c r="G78" s="439">
        <v>40</v>
      </c>
      <c r="H78" s="440">
        <v>0.16</v>
      </c>
      <c r="I78" s="440">
        <v>1</v>
      </c>
      <c r="J78" s="441">
        <v>0.75</v>
      </c>
      <c r="K78" s="441">
        <v>25</v>
      </c>
      <c r="L78" s="438">
        <v>1E-4</v>
      </c>
      <c r="M78" s="438">
        <v>4.0000000000000002E-4</v>
      </c>
      <c r="N78" s="439">
        <v>1.3</v>
      </c>
      <c r="O78" s="439">
        <v>5</v>
      </c>
      <c r="P78" s="442">
        <v>2000</v>
      </c>
      <c r="Q78" s="443"/>
      <c r="R78" s="445">
        <v>-40</v>
      </c>
      <c r="S78" s="445">
        <v>125</v>
      </c>
      <c r="T78" s="435"/>
      <c r="U78" s="436">
        <v>500000000</v>
      </c>
      <c r="V78" s="436">
        <v>500000000</v>
      </c>
      <c r="W78" s="436">
        <v>1</v>
      </c>
      <c r="X78" s="360">
        <v>0.01</v>
      </c>
      <c r="Y78" s="345">
        <f t="shared" si="0"/>
        <v>72</v>
      </c>
      <c r="Z78" s="345" t="str">
        <f>IF(OR($AL$75=Devices[[#This Row],[Input Type]], 0=Devices[[#This Row],[Input Type]]),Devices[[#This Row],[Row Num]], " ")</f>
        <v xml:space="preserve"> </v>
      </c>
      <c r="AA78" s="345">
        <f>IF(OR($AL$76=Devices[[#This Row],[Input Type]], 0=Devices[[#This Row],[Input Type]]),Devices[[#This Row],[Row Num]], " ")</f>
        <v>72</v>
      </c>
      <c r="AB78" s="345" t="str">
        <f>IF(0=Devices[[#This Row],[Input Type]], Devices[[#This Row],[Row Num]], " ")</f>
        <v xml:space="preserve"> </v>
      </c>
      <c r="AC78" s="346" t="str">
        <f>IFERROR(SMALL(Devices[Row Sel D], Devices[[#This Row],[Row Num]]), " ")</f>
        <v xml:space="preserve"> </v>
      </c>
      <c r="AD78" s="346" t="str">
        <f>IFERROR(SMALL(Devices[Row Sel SE], Devices[[#This Row],[Row Num]]), " ")</f>
        <v xml:space="preserve"> </v>
      </c>
      <c r="AE78" s="346" t="str">
        <f>IFERROR(SMALL(Devices[Row Sel N], Devices[[#This Row],[Row Num]]), " ")</f>
        <v xml:space="preserve"> </v>
      </c>
      <c r="AF78" s="346"/>
      <c r="AG78" s="346" t="str">
        <f>IFERROR(INDEX(Devices[Part], Devices[[#This Row],[Sel SE]], 1), "")</f>
        <v/>
      </c>
      <c r="AH78" s="346" t="str">
        <f>IFERROR(INDEX(Devices[Part], Devices[[#This Row],[Sel N]], 1), "")</f>
        <v/>
      </c>
    </row>
    <row r="79" spans="1:38" ht="15" hidden="1" customHeight="1">
      <c r="A79" s="387" t="s">
        <v>344</v>
      </c>
      <c r="B79" s="421" t="s">
        <v>52</v>
      </c>
      <c r="C79" s="481" t="s">
        <v>51</v>
      </c>
      <c r="D79" s="438">
        <v>5.9999999999999995E-4</v>
      </c>
      <c r="E79" s="438">
        <v>2.5000000000000001E-3</v>
      </c>
      <c r="F79" s="439">
        <v>5</v>
      </c>
      <c r="G79" s="439">
        <v>30</v>
      </c>
      <c r="H79" s="440">
        <v>0.16</v>
      </c>
      <c r="I79" s="440">
        <v>1</v>
      </c>
      <c r="J79" s="441">
        <v>0.75</v>
      </c>
      <c r="K79" s="441">
        <v>25</v>
      </c>
      <c r="L79" s="438">
        <v>1E-4</v>
      </c>
      <c r="M79" s="438">
        <v>5.0000000000000001E-4</v>
      </c>
      <c r="N79" s="439">
        <v>1.3</v>
      </c>
      <c r="O79" s="439">
        <v>5</v>
      </c>
      <c r="P79" s="442">
        <v>2000</v>
      </c>
      <c r="Q79" s="443"/>
      <c r="R79" s="445">
        <v>-40</v>
      </c>
      <c r="S79" s="445">
        <v>125</v>
      </c>
      <c r="T79" s="435"/>
      <c r="U79" s="436">
        <v>500000000</v>
      </c>
      <c r="V79" s="436">
        <v>500000000</v>
      </c>
      <c r="W79" s="436">
        <v>1</v>
      </c>
      <c r="X79" s="360">
        <v>0.01</v>
      </c>
      <c r="Y79" s="345">
        <f t="shared" si="0"/>
        <v>73</v>
      </c>
      <c r="Z79" s="345" t="str">
        <f>IF(OR($AL$75=Devices[[#This Row],[Input Type]], 0=Devices[[#This Row],[Input Type]]),Devices[[#This Row],[Row Num]], " ")</f>
        <v xml:space="preserve"> </v>
      </c>
      <c r="AA79" s="345">
        <f>IF(OR($AL$76=Devices[[#This Row],[Input Type]], 0=Devices[[#This Row],[Input Type]]),Devices[[#This Row],[Row Num]], " ")</f>
        <v>73</v>
      </c>
      <c r="AB79" s="345" t="str">
        <f>IF(0=Devices[[#This Row],[Input Type]], Devices[[#This Row],[Row Num]], " ")</f>
        <v xml:space="preserve"> </v>
      </c>
      <c r="AC79" s="346" t="str">
        <f>IFERROR(SMALL(Devices[Row Sel D], Devices[[#This Row],[Row Num]]), " ")</f>
        <v xml:space="preserve"> </v>
      </c>
      <c r="AD79" s="346" t="str">
        <f>IFERROR(SMALL(Devices[Row Sel SE], Devices[[#This Row],[Row Num]]), " ")</f>
        <v xml:space="preserve"> </v>
      </c>
      <c r="AE79" s="444" t="str">
        <f>IFERROR(SMALL(Devices[Row Sel N], Devices[[#This Row],[Row Num]]), " ")</f>
        <v xml:space="preserve"> </v>
      </c>
      <c r="AF79" s="346"/>
      <c r="AG79" s="346" t="str">
        <f>IFERROR(INDEX(Devices[Part], Devices[[#This Row],[Sel SE]], 1), "")</f>
        <v/>
      </c>
      <c r="AH79" s="346" t="str">
        <f>IFERROR(INDEX(Devices[Part], Devices[[#This Row],[Sel N]], 1), "")</f>
        <v/>
      </c>
    </row>
    <row r="80" spans="1:38" ht="15" customHeight="1">
      <c r="A80" s="457"/>
      <c r="B80" s="296"/>
      <c r="C80" s="468"/>
      <c r="D80" s="296"/>
      <c r="E80" s="458"/>
      <c r="F80" s="458"/>
      <c r="G80" s="459"/>
      <c r="H80" s="459"/>
      <c r="I80" s="460"/>
      <c r="J80" s="460"/>
      <c r="K80" s="296"/>
      <c r="L80" s="296"/>
      <c r="M80" s="458"/>
      <c r="N80" s="458"/>
      <c r="O80" s="461"/>
      <c r="P80" s="462"/>
      <c r="Q80" s="462"/>
      <c r="R80" s="463"/>
      <c r="S80" s="463"/>
      <c r="T80" s="462"/>
      <c r="U80" s="464"/>
      <c r="V80" s="464"/>
      <c r="W80" s="464"/>
    </row>
    <row r="81" spans="1:23" ht="15" customHeight="1">
      <c r="A81" s="457"/>
      <c r="B81" s="296"/>
      <c r="C81" s="468"/>
      <c r="D81" s="296"/>
      <c r="E81" s="458"/>
      <c r="F81" s="458"/>
      <c r="G81" s="459"/>
      <c r="H81" s="459"/>
      <c r="I81" s="460"/>
      <c r="J81" s="460"/>
      <c r="K81" s="296"/>
      <c r="L81" s="296"/>
      <c r="M81" s="458"/>
      <c r="N81" s="458"/>
      <c r="O81" s="461"/>
      <c r="P81" s="462"/>
      <c r="Q81" s="462"/>
      <c r="R81" s="463"/>
      <c r="S81" s="463"/>
      <c r="T81" s="462"/>
      <c r="U81" s="464"/>
      <c r="V81" s="464"/>
      <c r="W81" s="464"/>
    </row>
    <row r="82" spans="1:23" ht="15" customHeight="1">
      <c r="A82" s="457"/>
      <c r="B82" s="296"/>
      <c r="C82" s="468"/>
      <c r="D82" s="296"/>
      <c r="E82" s="458"/>
      <c r="F82" s="458"/>
      <c r="G82" s="459"/>
      <c r="H82" s="459"/>
      <c r="I82" s="460"/>
      <c r="J82" s="460"/>
      <c r="K82" s="296"/>
      <c r="L82" s="296"/>
      <c r="M82" s="458"/>
      <c r="N82" s="458"/>
      <c r="O82" s="461"/>
      <c r="P82" s="462"/>
      <c r="Q82" s="462"/>
      <c r="R82" s="463"/>
      <c r="S82" s="463"/>
      <c r="T82" s="462"/>
      <c r="U82" s="464"/>
      <c r="V82" s="464"/>
      <c r="W82" s="464"/>
    </row>
    <row r="83" spans="1:23" ht="15" customHeight="1">
      <c r="A83" s="457"/>
      <c r="B83" s="296"/>
      <c r="C83" s="468"/>
      <c r="D83" s="296"/>
      <c r="E83" s="458"/>
      <c r="F83" s="458"/>
      <c r="G83" s="459"/>
      <c r="H83" s="459"/>
      <c r="I83" s="460"/>
      <c r="J83" s="460"/>
      <c r="K83" s="296"/>
      <c r="L83" s="296"/>
      <c r="M83" s="458"/>
      <c r="N83" s="458"/>
      <c r="O83" s="461"/>
      <c r="P83" s="462"/>
      <c r="Q83" s="462"/>
      <c r="R83" s="463"/>
      <c r="S83" s="463"/>
      <c r="T83" s="462"/>
      <c r="U83" s="464"/>
      <c r="V83" s="464"/>
      <c r="W83" s="464"/>
    </row>
    <row r="84" spans="1:23" ht="15" customHeight="1">
      <c r="A84" s="457"/>
      <c r="B84" s="296"/>
      <c r="C84" s="468"/>
      <c r="D84" s="296"/>
      <c r="E84" s="458"/>
      <c r="F84" s="458"/>
      <c r="G84" s="459"/>
      <c r="H84" s="459"/>
      <c r="I84" s="460"/>
      <c r="J84" s="460"/>
      <c r="K84" s="296"/>
      <c r="L84" s="296"/>
      <c r="M84" s="458"/>
      <c r="N84" s="458"/>
      <c r="O84" s="461"/>
      <c r="P84" s="462"/>
      <c r="Q84" s="462"/>
      <c r="R84" s="463"/>
      <c r="S84" s="463"/>
      <c r="T84" s="462"/>
      <c r="U84" s="464"/>
      <c r="V84" s="464"/>
      <c r="W84" s="464"/>
    </row>
    <row r="85" spans="1:23" ht="15" customHeight="1">
      <c r="A85" s="457"/>
      <c r="B85" s="296"/>
      <c r="C85" s="468"/>
      <c r="D85" s="296"/>
      <c r="E85" s="458"/>
      <c r="F85" s="458"/>
      <c r="G85" s="459"/>
      <c r="H85" s="459"/>
      <c r="I85" s="460"/>
      <c r="J85" s="460"/>
      <c r="K85" s="296"/>
      <c r="L85" s="296"/>
      <c r="M85" s="458"/>
      <c r="N85" s="458"/>
      <c r="O85" s="461"/>
      <c r="P85" s="462"/>
      <c r="Q85" s="462"/>
      <c r="R85" s="463"/>
      <c r="S85" s="463"/>
      <c r="T85" s="462"/>
      <c r="U85" s="464"/>
      <c r="V85" s="464"/>
      <c r="W85" s="464"/>
    </row>
    <row r="86" spans="1:23" ht="15" customHeight="1">
      <c r="A86" s="457"/>
      <c r="B86" s="296"/>
      <c r="C86" s="468"/>
      <c r="D86" s="296"/>
      <c r="E86" s="458"/>
      <c r="F86" s="458"/>
      <c r="G86" s="459"/>
      <c r="H86" s="459"/>
      <c r="I86" s="460"/>
      <c r="J86" s="460"/>
      <c r="K86" s="296"/>
      <c r="L86" s="296"/>
      <c r="M86" s="458"/>
      <c r="N86" s="458"/>
      <c r="O86" s="461"/>
      <c r="P86" s="462"/>
      <c r="Q86" s="462"/>
      <c r="R86" s="463"/>
      <c r="S86" s="463"/>
      <c r="T86" s="462"/>
      <c r="U86" s="464"/>
      <c r="V86" s="464"/>
      <c r="W86" s="464"/>
    </row>
    <row r="87" spans="1:23" ht="15" customHeight="1">
      <c r="A87" s="457"/>
      <c r="B87" s="296"/>
      <c r="C87" s="468"/>
      <c r="D87" s="296"/>
      <c r="E87" s="458"/>
      <c r="F87" s="458"/>
      <c r="G87" s="459"/>
      <c r="H87" s="459"/>
      <c r="I87" s="460"/>
      <c r="J87" s="460"/>
      <c r="K87" s="296"/>
      <c r="L87" s="296"/>
      <c r="M87" s="458"/>
      <c r="N87" s="458"/>
      <c r="O87" s="461"/>
      <c r="P87" s="462"/>
      <c r="Q87" s="462"/>
      <c r="R87" s="463"/>
      <c r="S87" s="463"/>
      <c r="T87" s="462"/>
      <c r="U87" s="464"/>
      <c r="V87" s="464"/>
      <c r="W87" s="464"/>
    </row>
    <row r="88" spans="1:23" ht="15" customHeight="1">
      <c r="A88" s="457"/>
      <c r="B88" s="296"/>
      <c r="C88" s="468"/>
      <c r="D88" s="296"/>
      <c r="E88" s="458"/>
      <c r="F88" s="458"/>
      <c r="G88" s="459"/>
      <c r="H88" s="459"/>
      <c r="I88" s="460"/>
      <c r="J88" s="460"/>
      <c r="K88" s="296"/>
      <c r="L88" s="296"/>
      <c r="M88" s="458"/>
      <c r="N88" s="458"/>
      <c r="O88" s="461"/>
      <c r="P88" s="462"/>
      <c r="Q88" s="462"/>
      <c r="R88" s="463"/>
      <c r="S88" s="463"/>
      <c r="T88" s="462"/>
      <c r="U88" s="464"/>
      <c r="V88" s="464"/>
      <c r="W88" s="464"/>
    </row>
    <row r="89" spans="1:23" ht="15" customHeight="1">
      <c r="A89" s="457"/>
      <c r="B89" s="296"/>
      <c r="C89" s="468"/>
      <c r="D89" s="296"/>
      <c r="E89" s="458"/>
      <c r="F89" s="458"/>
      <c r="G89" s="459"/>
      <c r="H89" s="459"/>
      <c r="I89" s="460"/>
      <c r="J89" s="460"/>
      <c r="K89" s="296"/>
      <c r="L89" s="296"/>
      <c r="M89" s="458"/>
      <c r="N89" s="458"/>
      <c r="O89" s="461"/>
      <c r="P89" s="462"/>
      <c r="Q89" s="462"/>
      <c r="R89" s="463"/>
      <c r="S89" s="463"/>
      <c r="T89" s="462"/>
      <c r="U89" s="464"/>
      <c r="V89" s="464"/>
      <c r="W89" s="464"/>
    </row>
    <row r="90" spans="1:23" ht="15" customHeight="1">
      <c r="A90" s="457"/>
      <c r="B90" s="296"/>
      <c r="C90" s="468"/>
      <c r="D90" s="296"/>
      <c r="E90" s="458"/>
      <c r="F90" s="458"/>
      <c r="G90" s="459"/>
      <c r="H90" s="459"/>
      <c r="I90" s="460"/>
      <c r="J90" s="460"/>
      <c r="K90" s="296"/>
      <c r="L90" s="296"/>
      <c r="M90" s="458"/>
      <c r="N90" s="458"/>
      <c r="O90" s="461"/>
      <c r="P90" s="462"/>
      <c r="Q90" s="462"/>
      <c r="R90" s="463"/>
      <c r="S90" s="463"/>
      <c r="T90" s="462"/>
      <c r="U90" s="464"/>
      <c r="V90" s="464"/>
      <c r="W90" s="464"/>
    </row>
    <row r="91" spans="1:23" ht="15" customHeight="1">
      <c r="A91" s="457"/>
      <c r="B91" s="296"/>
      <c r="C91" s="468"/>
      <c r="D91" s="296"/>
      <c r="E91" s="458"/>
      <c r="F91" s="458"/>
      <c r="G91" s="459"/>
      <c r="H91" s="459"/>
      <c r="I91" s="460"/>
      <c r="J91" s="460"/>
      <c r="K91" s="296"/>
      <c r="L91" s="296"/>
      <c r="M91" s="458"/>
      <c r="N91" s="458"/>
      <c r="O91" s="461"/>
      <c r="P91" s="462"/>
      <c r="Q91" s="462"/>
      <c r="R91" s="463"/>
      <c r="S91" s="463"/>
      <c r="T91" s="462"/>
      <c r="U91" s="464"/>
      <c r="V91" s="464"/>
      <c r="W91" s="464"/>
    </row>
    <row r="92" spans="1:23" ht="15" customHeight="1">
      <c r="A92" s="457"/>
      <c r="B92" s="296"/>
      <c r="C92" s="468"/>
      <c r="D92" s="296"/>
      <c r="E92" s="458"/>
      <c r="F92" s="458"/>
      <c r="G92" s="459"/>
      <c r="H92" s="459"/>
      <c r="I92" s="460"/>
      <c r="J92" s="460"/>
      <c r="K92" s="296"/>
      <c r="L92" s="296"/>
      <c r="M92" s="458"/>
      <c r="N92" s="458"/>
      <c r="O92" s="461"/>
      <c r="P92" s="462"/>
      <c r="Q92" s="462"/>
      <c r="R92" s="463"/>
      <c r="S92" s="463"/>
      <c r="T92" s="462"/>
      <c r="U92" s="464"/>
      <c r="V92" s="464"/>
      <c r="W92" s="464"/>
    </row>
    <row r="93" spans="1:23" ht="15" customHeight="1">
      <c r="A93" s="457"/>
      <c r="B93" s="296"/>
      <c r="C93" s="468"/>
      <c r="D93" s="296"/>
      <c r="E93" s="458"/>
      <c r="F93" s="458"/>
      <c r="G93" s="459"/>
      <c r="H93" s="459"/>
      <c r="I93" s="460"/>
      <c r="J93" s="460"/>
      <c r="K93" s="296"/>
      <c r="L93" s="296"/>
      <c r="M93" s="458"/>
      <c r="N93" s="458"/>
      <c r="O93" s="461"/>
      <c r="P93" s="462"/>
      <c r="Q93" s="462"/>
      <c r="R93" s="463"/>
      <c r="S93" s="463"/>
      <c r="T93" s="462"/>
      <c r="U93" s="464"/>
      <c r="V93" s="464"/>
      <c r="W93" s="464"/>
    </row>
    <row r="94" spans="1:23" ht="15" customHeight="1">
      <c r="A94" s="457"/>
      <c r="B94" s="296"/>
      <c r="C94" s="468"/>
      <c r="D94" s="296"/>
      <c r="E94" s="458"/>
      <c r="F94" s="458"/>
      <c r="G94" s="459"/>
      <c r="H94" s="459"/>
      <c r="I94" s="460"/>
      <c r="J94" s="460"/>
      <c r="K94" s="296"/>
      <c r="L94" s="296"/>
      <c r="M94" s="458"/>
      <c r="N94" s="458"/>
      <c r="O94" s="461"/>
      <c r="P94" s="462"/>
      <c r="Q94" s="462"/>
      <c r="R94" s="463"/>
      <c r="S94" s="463"/>
      <c r="T94" s="462"/>
      <c r="U94" s="464"/>
      <c r="V94" s="464"/>
      <c r="W94" s="464"/>
    </row>
    <row r="95" spans="1:23" ht="15" customHeight="1">
      <c r="A95" s="457"/>
      <c r="B95" s="296"/>
      <c r="C95" s="468"/>
      <c r="D95" s="296"/>
      <c r="E95" s="458"/>
      <c r="F95" s="458"/>
      <c r="G95" s="459"/>
      <c r="H95" s="459"/>
      <c r="I95" s="460"/>
      <c r="J95" s="460"/>
      <c r="K95" s="296"/>
      <c r="L95" s="296"/>
      <c r="M95" s="458"/>
      <c r="N95" s="458"/>
      <c r="O95" s="461"/>
      <c r="P95" s="462"/>
      <c r="Q95" s="462"/>
      <c r="R95" s="463"/>
      <c r="S95" s="463"/>
      <c r="T95" s="462"/>
      <c r="U95" s="464"/>
      <c r="V95" s="464"/>
      <c r="W95" s="464"/>
    </row>
    <row r="96" spans="1:23" ht="15" customHeight="1">
      <c r="A96" s="457"/>
      <c r="B96" s="296"/>
      <c r="C96" s="468"/>
      <c r="D96" s="296"/>
      <c r="E96" s="458"/>
      <c r="F96" s="458"/>
      <c r="G96" s="459"/>
      <c r="H96" s="459"/>
      <c r="I96" s="460"/>
      <c r="J96" s="460"/>
      <c r="K96" s="296"/>
      <c r="L96" s="296"/>
      <c r="M96" s="458"/>
      <c r="N96" s="458"/>
      <c r="O96" s="461"/>
      <c r="P96" s="462"/>
      <c r="Q96" s="462"/>
      <c r="R96" s="463"/>
      <c r="S96" s="463"/>
      <c r="T96" s="462"/>
      <c r="U96" s="464"/>
      <c r="V96" s="464"/>
      <c r="W96" s="464"/>
    </row>
    <row r="97" spans="1:23" ht="15" customHeight="1">
      <c r="A97" s="457"/>
      <c r="B97" s="296"/>
      <c r="C97" s="468"/>
      <c r="D97" s="296"/>
      <c r="E97" s="458"/>
      <c r="F97" s="458"/>
      <c r="G97" s="459"/>
      <c r="H97" s="459"/>
      <c r="I97" s="460"/>
      <c r="J97" s="460"/>
      <c r="K97" s="296"/>
      <c r="L97" s="296"/>
      <c r="M97" s="458"/>
      <c r="N97" s="458"/>
      <c r="O97" s="461"/>
      <c r="P97" s="462"/>
      <c r="Q97" s="462"/>
      <c r="R97" s="463"/>
      <c r="S97" s="463"/>
      <c r="T97" s="462"/>
      <c r="U97" s="464"/>
      <c r="V97" s="464"/>
      <c r="W97" s="464"/>
    </row>
    <row r="98" spans="1:23">
      <c r="A98" s="457"/>
      <c r="B98" s="296"/>
      <c r="C98" s="468"/>
      <c r="D98" s="296"/>
      <c r="E98" s="458"/>
      <c r="F98" s="458"/>
      <c r="G98" s="459"/>
      <c r="H98" s="459"/>
      <c r="I98" s="460"/>
      <c r="J98" s="460"/>
      <c r="K98" s="296"/>
      <c r="L98" s="296"/>
      <c r="M98" s="458"/>
      <c r="N98" s="458"/>
      <c r="O98" s="461"/>
      <c r="P98" s="462"/>
      <c r="Q98" s="462"/>
      <c r="R98" s="463"/>
      <c r="S98" s="463"/>
      <c r="T98" s="462"/>
      <c r="U98" s="464"/>
      <c r="V98" s="464"/>
      <c r="W98" s="464"/>
    </row>
    <row r="99" spans="1:23">
      <c r="A99" s="457"/>
      <c r="B99" s="296"/>
      <c r="C99" s="468"/>
      <c r="D99" s="296"/>
      <c r="E99" s="458"/>
      <c r="F99" s="458"/>
      <c r="G99" s="459"/>
      <c r="H99" s="459"/>
      <c r="I99" s="460"/>
      <c r="J99" s="460"/>
      <c r="K99" s="296"/>
      <c r="L99" s="296"/>
      <c r="M99" s="458"/>
      <c r="N99" s="458"/>
      <c r="O99" s="461"/>
      <c r="P99" s="462"/>
      <c r="Q99" s="462"/>
      <c r="R99" s="463"/>
      <c r="S99" s="463"/>
      <c r="T99" s="462"/>
      <c r="U99" s="464"/>
      <c r="V99" s="464"/>
      <c r="W99" s="464"/>
    </row>
    <row r="100" spans="1:23" ht="17.100000000000001" customHeight="1">
      <c r="A100" s="457"/>
      <c r="B100" s="296"/>
      <c r="C100" s="468"/>
      <c r="D100" s="296"/>
      <c r="E100" s="458"/>
      <c r="F100" s="458"/>
      <c r="G100" s="459"/>
      <c r="H100" s="459"/>
      <c r="I100" s="460"/>
      <c r="J100" s="460"/>
      <c r="K100" s="296"/>
      <c r="L100" s="296"/>
      <c r="M100" s="458"/>
      <c r="N100" s="458"/>
      <c r="O100" s="461"/>
      <c r="P100" s="462"/>
      <c r="Q100" s="462"/>
      <c r="R100" s="463"/>
      <c r="S100" s="463"/>
      <c r="T100" s="462"/>
      <c r="U100" s="464"/>
      <c r="V100" s="464"/>
      <c r="W100" s="464"/>
    </row>
    <row r="101" spans="1:23">
      <c r="A101" s="457"/>
      <c r="B101" s="296"/>
      <c r="C101" s="468"/>
      <c r="D101" s="296"/>
      <c r="E101" s="458"/>
      <c r="F101" s="458"/>
      <c r="G101" s="459"/>
      <c r="H101" s="459"/>
      <c r="I101" s="460"/>
      <c r="J101" s="460"/>
      <c r="K101" s="296"/>
      <c r="L101" s="296"/>
      <c r="M101" s="458"/>
      <c r="N101" s="458"/>
      <c r="O101" s="461"/>
      <c r="P101" s="462"/>
      <c r="Q101" s="462"/>
      <c r="R101" s="463"/>
      <c r="S101" s="463"/>
      <c r="T101" s="462"/>
      <c r="U101" s="464"/>
      <c r="V101" s="464"/>
      <c r="W101" s="464"/>
    </row>
    <row r="102" spans="1:23">
      <c r="A102" s="457"/>
      <c r="B102" s="296"/>
      <c r="C102" s="468"/>
      <c r="D102" s="296"/>
      <c r="E102" s="458"/>
      <c r="F102" s="458"/>
      <c r="G102" s="459"/>
      <c r="H102" s="459"/>
      <c r="I102" s="460"/>
      <c r="J102" s="460"/>
      <c r="K102" s="296"/>
      <c r="L102" s="296"/>
      <c r="M102" s="458"/>
      <c r="N102" s="458"/>
      <c r="O102" s="461"/>
      <c r="P102" s="462"/>
      <c r="Q102" s="462"/>
      <c r="R102" s="463"/>
      <c r="S102" s="463"/>
      <c r="T102" s="462"/>
      <c r="U102" s="464"/>
      <c r="V102" s="464"/>
      <c r="W102" s="464"/>
    </row>
    <row r="103" spans="1:23">
      <c r="A103" s="457"/>
      <c r="B103" s="296"/>
      <c r="C103" s="468"/>
      <c r="D103" s="296"/>
      <c r="E103" s="458"/>
      <c r="F103" s="458"/>
      <c r="G103" s="459"/>
      <c r="H103" s="459"/>
      <c r="I103" s="460"/>
      <c r="J103" s="460"/>
      <c r="K103" s="296"/>
      <c r="L103" s="296"/>
      <c r="M103" s="458"/>
      <c r="N103" s="458"/>
      <c r="O103" s="461"/>
      <c r="P103" s="462"/>
      <c r="Q103" s="462"/>
      <c r="R103" s="463"/>
      <c r="S103" s="463"/>
      <c r="T103" s="462"/>
      <c r="U103" s="464"/>
      <c r="V103" s="464"/>
      <c r="W103" s="464"/>
    </row>
    <row r="104" spans="1:23">
      <c r="A104" s="457"/>
      <c r="B104" s="296"/>
      <c r="C104" s="468"/>
      <c r="D104" s="296"/>
      <c r="E104" s="458"/>
      <c r="F104" s="458"/>
      <c r="G104" s="459"/>
      <c r="H104" s="459"/>
      <c r="I104" s="460"/>
      <c r="J104" s="460"/>
      <c r="K104" s="296"/>
      <c r="L104" s="296"/>
      <c r="M104" s="458"/>
      <c r="N104" s="458"/>
      <c r="O104" s="461"/>
      <c r="P104" s="462"/>
      <c r="Q104" s="462"/>
      <c r="R104" s="463"/>
      <c r="S104" s="463"/>
      <c r="T104" s="462"/>
      <c r="U104" s="464"/>
      <c r="V104" s="464"/>
      <c r="W104" s="464"/>
    </row>
    <row r="116" spans="1:23" ht="15" customHeight="1"/>
    <row r="117" spans="1:23" ht="15" customHeight="1"/>
    <row r="118" spans="1:23" ht="15" customHeight="1"/>
    <row r="119" spans="1:23" ht="15" customHeight="1"/>
    <row r="120" spans="1:23" ht="15" customHeight="1"/>
    <row r="121" spans="1:23" ht="15" customHeight="1">
      <c r="B121" s="821"/>
      <c r="F121" s="821"/>
      <c r="G121" s="821"/>
      <c r="H121" s="821"/>
      <c r="I121" s="821"/>
      <c r="J121" s="821"/>
      <c r="K121" s="821"/>
      <c r="M121" s="821"/>
      <c r="N121" s="821"/>
      <c r="O121" s="821"/>
      <c r="P121" s="821"/>
      <c r="R121" s="821"/>
    </row>
    <row r="122" spans="1:23" ht="15" customHeight="1">
      <c r="B122" s="821"/>
      <c r="F122" s="821"/>
      <c r="G122" s="821"/>
      <c r="H122" s="821"/>
      <c r="I122" s="821"/>
      <c r="J122" s="821"/>
      <c r="K122" s="821"/>
      <c r="M122" s="821"/>
      <c r="N122" s="821"/>
      <c r="O122" s="821"/>
      <c r="P122" s="821"/>
      <c r="R122" s="821"/>
    </row>
    <row r="123" spans="1:23" ht="15" customHeight="1">
      <c r="A123" s="465"/>
      <c r="B123" s="466"/>
      <c r="C123" s="466"/>
      <c r="D123" s="466"/>
      <c r="E123" s="466"/>
      <c r="F123" s="466"/>
      <c r="G123" s="466"/>
      <c r="H123" s="466"/>
      <c r="I123" s="466"/>
      <c r="J123" s="466"/>
      <c r="K123" s="466"/>
      <c r="L123" s="466"/>
      <c r="M123" s="466"/>
      <c r="N123" s="466"/>
      <c r="O123" s="466"/>
      <c r="P123" s="466"/>
      <c r="Q123" s="466"/>
      <c r="R123" s="466"/>
      <c r="S123" s="466"/>
      <c r="T123" s="466"/>
      <c r="U123" s="466"/>
      <c r="V123" s="466"/>
      <c r="W123" s="466"/>
    </row>
    <row r="124" spans="1:23" ht="15" customHeight="1">
      <c r="A124" s="465"/>
      <c r="B124" s="466"/>
      <c r="C124" s="466"/>
      <c r="D124" s="466"/>
      <c r="E124" s="466"/>
      <c r="F124" s="466"/>
      <c r="G124" s="466"/>
      <c r="H124" s="466"/>
      <c r="I124" s="466"/>
      <c r="J124" s="466"/>
      <c r="K124" s="466"/>
      <c r="L124" s="466"/>
      <c r="M124" s="466"/>
      <c r="N124" s="466"/>
      <c r="O124" s="466"/>
      <c r="P124" s="466"/>
      <c r="Q124" s="466"/>
      <c r="R124" s="466"/>
      <c r="S124" s="466"/>
      <c r="T124" s="466"/>
      <c r="U124" s="466"/>
      <c r="V124" s="466"/>
      <c r="W124" s="466"/>
    </row>
    <row r="125" spans="1:23" ht="15" customHeight="1">
      <c r="A125" s="465"/>
      <c r="B125" s="466"/>
      <c r="C125" s="466"/>
      <c r="D125" s="466"/>
      <c r="E125" s="466"/>
      <c r="F125" s="466"/>
      <c r="G125" s="466"/>
      <c r="H125" s="466"/>
      <c r="I125" s="466"/>
      <c r="J125" s="466"/>
      <c r="K125" s="466"/>
      <c r="L125" s="466"/>
      <c r="M125" s="466"/>
      <c r="N125" s="466"/>
      <c r="O125" s="466"/>
      <c r="P125" s="466"/>
      <c r="Q125" s="466"/>
      <c r="R125" s="466"/>
      <c r="S125" s="466"/>
      <c r="T125" s="466"/>
      <c r="U125" s="466"/>
      <c r="V125" s="466"/>
      <c r="W125" s="466"/>
    </row>
    <row r="126" spans="1:23" ht="15" customHeight="1">
      <c r="A126" s="465"/>
      <c r="S126" s="466"/>
      <c r="T126" s="466"/>
      <c r="U126" s="466"/>
      <c r="V126" s="466"/>
      <c r="W126" s="466"/>
    </row>
    <row r="127" spans="1:23" ht="15" customHeight="1">
      <c r="A127" s="465"/>
      <c r="S127" s="466"/>
      <c r="T127" s="466"/>
      <c r="U127" s="466"/>
      <c r="V127" s="466"/>
      <c r="W127" s="466"/>
    </row>
    <row r="128" spans="1:23" ht="15" customHeight="1">
      <c r="A128" s="465"/>
      <c r="S128" s="466"/>
      <c r="T128" s="466"/>
      <c r="U128" s="466"/>
      <c r="V128" s="466"/>
      <c r="W128" s="466"/>
    </row>
    <row r="129" spans="1:23" ht="15" customHeight="1">
      <c r="A129" s="465"/>
      <c r="S129" s="466"/>
      <c r="T129" s="466"/>
      <c r="U129" s="466"/>
      <c r="V129" s="466"/>
      <c r="W129" s="466"/>
    </row>
    <row r="130" spans="1:23" ht="15" customHeight="1">
      <c r="A130" s="465"/>
      <c r="S130" s="466"/>
      <c r="T130" s="466"/>
      <c r="U130" s="466"/>
      <c r="V130" s="466"/>
      <c r="W130" s="466"/>
    </row>
    <row r="131" spans="1:23" ht="15" customHeight="1">
      <c r="A131" s="465"/>
      <c r="S131" s="466"/>
      <c r="T131" s="466"/>
      <c r="U131" s="466"/>
      <c r="V131" s="466"/>
      <c r="W131" s="466"/>
    </row>
    <row r="132" spans="1:23" ht="15" customHeight="1">
      <c r="A132" s="465"/>
      <c r="S132" s="466"/>
      <c r="T132" s="466"/>
      <c r="U132" s="466"/>
      <c r="V132" s="466"/>
      <c r="W132" s="466"/>
    </row>
    <row r="133" spans="1:23" ht="15" customHeight="1">
      <c r="A133" s="465"/>
      <c r="S133" s="466"/>
      <c r="T133" s="466"/>
      <c r="U133" s="466"/>
      <c r="V133" s="466"/>
      <c r="W133" s="466"/>
    </row>
    <row r="134" spans="1:23" ht="15" customHeight="1">
      <c r="A134" s="465"/>
      <c r="S134" s="466"/>
      <c r="T134" s="466"/>
      <c r="U134" s="466"/>
      <c r="V134" s="466"/>
      <c r="W134" s="466"/>
    </row>
    <row r="135" spans="1:23" ht="15" customHeight="1">
      <c r="A135" s="465"/>
      <c r="S135" s="466"/>
      <c r="T135" s="466"/>
      <c r="U135" s="466"/>
      <c r="V135" s="466"/>
      <c r="W135" s="466"/>
    </row>
    <row r="136" spans="1:23" ht="15" customHeight="1">
      <c r="A136" s="465"/>
      <c r="S136" s="466"/>
      <c r="T136" s="466"/>
      <c r="U136" s="466"/>
      <c r="V136" s="466"/>
      <c r="W136" s="466"/>
    </row>
    <row r="137" spans="1:23" ht="15" customHeight="1">
      <c r="A137" s="465"/>
      <c r="S137" s="466"/>
      <c r="T137" s="466"/>
      <c r="U137" s="466"/>
      <c r="V137" s="466"/>
      <c r="W137" s="466"/>
    </row>
    <row r="138" spans="1:23" ht="15" customHeight="1">
      <c r="A138" s="465"/>
      <c r="S138" s="466"/>
      <c r="T138" s="466"/>
      <c r="U138" s="466"/>
      <c r="V138" s="466"/>
      <c r="W138" s="466"/>
    </row>
    <row r="139" spans="1:23" ht="15" customHeight="1">
      <c r="A139" s="465"/>
      <c r="S139" s="466"/>
      <c r="T139" s="466"/>
      <c r="U139" s="466"/>
      <c r="V139" s="466"/>
      <c r="W139" s="466"/>
    </row>
    <row r="140" spans="1:23" ht="15" customHeight="1">
      <c r="A140" s="465"/>
      <c r="S140" s="466"/>
      <c r="T140" s="466"/>
      <c r="U140" s="466"/>
      <c r="V140" s="466"/>
      <c r="W140" s="466"/>
    </row>
    <row r="141" spans="1:23" ht="15" customHeight="1">
      <c r="A141" s="465"/>
      <c r="S141" s="466"/>
      <c r="T141" s="466"/>
      <c r="U141" s="466"/>
      <c r="V141" s="466"/>
      <c r="W141" s="466"/>
    </row>
    <row r="142" spans="1:23" ht="15" customHeight="1">
      <c r="A142" s="465"/>
      <c r="S142" s="466"/>
      <c r="T142" s="466"/>
      <c r="U142" s="466"/>
      <c r="V142" s="466"/>
      <c r="W142" s="466"/>
    </row>
    <row r="143" spans="1:23" ht="15" customHeight="1">
      <c r="A143" s="465"/>
      <c r="B143" s="466"/>
      <c r="C143" s="466"/>
      <c r="D143" s="466"/>
      <c r="E143" s="466"/>
      <c r="F143" s="466"/>
      <c r="G143" s="466"/>
      <c r="H143" s="466"/>
      <c r="I143" s="466"/>
      <c r="J143" s="466"/>
      <c r="K143" s="466"/>
      <c r="L143" s="466"/>
      <c r="M143" s="466"/>
      <c r="N143" s="466"/>
      <c r="O143" s="466"/>
      <c r="P143" s="466"/>
      <c r="Q143" s="466"/>
      <c r="R143" s="466"/>
      <c r="S143" s="466"/>
      <c r="T143" s="466"/>
      <c r="U143" s="466"/>
      <c r="V143" s="466"/>
      <c r="W143" s="466"/>
    </row>
    <row r="144" spans="1:23" ht="15" customHeight="1">
      <c r="A144" s="465"/>
      <c r="B144" s="466"/>
      <c r="C144" s="466"/>
      <c r="D144" s="466"/>
      <c r="E144" s="466"/>
      <c r="F144" s="466"/>
      <c r="G144" s="466"/>
      <c r="H144" s="466"/>
      <c r="I144" s="466"/>
      <c r="J144" s="466"/>
      <c r="K144" s="466"/>
      <c r="L144" s="466"/>
      <c r="M144" s="466"/>
      <c r="N144" s="466"/>
      <c r="O144" s="466"/>
      <c r="P144" s="466"/>
      <c r="Q144" s="466"/>
      <c r="R144" s="466"/>
      <c r="S144" s="466"/>
      <c r="T144" s="466"/>
      <c r="U144" s="466"/>
      <c r="V144" s="466"/>
      <c r="W144" s="466"/>
    </row>
    <row r="145" spans="1:23" ht="15" customHeight="1">
      <c r="A145" s="465"/>
      <c r="B145" s="466"/>
      <c r="C145" s="466"/>
      <c r="D145" s="466"/>
      <c r="E145" s="466"/>
      <c r="F145" s="466"/>
      <c r="G145" s="466"/>
      <c r="H145" s="466"/>
      <c r="I145" s="466"/>
      <c r="J145" s="466"/>
      <c r="K145" s="466"/>
      <c r="L145" s="466"/>
      <c r="M145" s="466"/>
      <c r="N145" s="466"/>
      <c r="O145" s="466"/>
      <c r="P145" s="466"/>
      <c r="Q145" s="466"/>
      <c r="R145" s="466"/>
      <c r="S145" s="466"/>
      <c r="T145" s="466"/>
      <c r="U145" s="466"/>
      <c r="V145" s="466"/>
      <c r="W145" s="466"/>
    </row>
    <row r="146" spans="1:23" ht="15" customHeight="1">
      <c r="A146" s="465"/>
      <c r="B146" s="466"/>
      <c r="C146" s="466"/>
      <c r="D146" s="466"/>
      <c r="E146" s="466"/>
      <c r="F146" s="466"/>
      <c r="G146" s="466"/>
      <c r="H146" s="466"/>
      <c r="I146" s="466"/>
      <c r="J146" s="466"/>
      <c r="K146" s="466"/>
      <c r="L146" s="466"/>
      <c r="M146" s="466"/>
      <c r="N146" s="466"/>
      <c r="O146" s="466"/>
      <c r="P146" s="466"/>
      <c r="Q146" s="466"/>
      <c r="R146" s="466"/>
      <c r="S146" s="466"/>
      <c r="T146" s="466"/>
      <c r="U146" s="466"/>
      <c r="V146" s="466"/>
      <c r="W146" s="466"/>
    </row>
    <row r="147" spans="1:23" ht="15" customHeight="1">
      <c r="A147" s="465"/>
      <c r="B147" s="466"/>
      <c r="C147" s="466"/>
      <c r="D147" s="466"/>
      <c r="E147" s="466"/>
      <c r="F147" s="466"/>
      <c r="G147" s="466"/>
      <c r="H147" s="466"/>
      <c r="I147" s="466"/>
      <c r="J147" s="466"/>
      <c r="K147" s="466"/>
      <c r="L147" s="466"/>
      <c r="M147" s="466"/>
      <c r="N147" s="466"/>
      <c r="O147" s="466"/>
      <c r="P147" s="466"/>
      <c r="Q147" s="466"/>
      <c r="R147" s="466"/>
      <c r="S147" s="466"/>
      <c r="T147" s="466"/>
      <c r="U147" s="466"/>
      <c r="V147" s="466"/>
      <c r="W147" s="466"/>
    </row>
    <row r="148" spans="1:23" ht="15" customHeight="1">
      <c r="A148" s="465"/>
      <c r="B148" s="466"/>
      <c r="C148" s="466"/>
      <c r="D148" s="466"/>
      <c r="E148" s="466"/>
      <c r="F148" s="466"/>
      <c r="G148" s="466"/>
      <c r="H148" s="466"/>
      <c r="I148" s="466"/>
      <c r="J148" s="466"/>
      <c r="K148" s="466"/>
      <c r="L148" s="466"/>
      <c r="M148" s="466"/>
      <c r="N148" s="466"/>
      <c r="O148" s="466"/>
      <c r="P148" s="466"/>
      <c r="Q148" s="466"/>
      <c r="R148" s="466"/>
      <c r="S148" s="466"/>
      <c r="T148" s="466"/>
      <c r="U148" s="466"/>
      <c r="V148" s="466"/>
      <c r="W148" s="466"/>
    </row>
    <row r="149" spans="1:23" ht="15" customHeight="1">
      <c r="A149" s="465"/>
      <c r="B149" s="466"/>
      <c r="C149" s="466"/>
      <c r="D149" s="466"/>
      <c r="E149" s="466"/>
      <c r="F149" s="466"/>
      <c r="G149" s="466"/>
      <c r="H149" s="466"/>
      <c r="I149" s="466"/>
      <c r="J149" s="466"/>
      <c r="K149" s="466"/>
      <c r="L149" s="466"/>
      <c r="M149" s="466"/>
      <c r="N149" s="466"/>
      <c r="O149" s="466"/>
      <c r="P149" s="466"/>
      <c r="Q149" s="466"/>
      <c r="R149" s="466"/>
      <c r="S149" s="466"/>
      <c r="T149" s="466"/>
      <c r="U149" s="466"/>
      <c r="V149" s="466"/>
      <c r="W149" s="466"/>
    </row>
    <row r="150" spans="1:23" ht="15" customHeight="1">
      <c r="A150" s="465"/>
      <c r="B150" s="466"/>
      <c r="C150" s="466"/>
      <c r="D150" s="466"/>
      <c r="E150" s="466"/>
      <c r="F150" s="466"/>
      <c r="G150" s="466"/>
      <c r="H150" s="466"/>
      <c r="I150" s="466"/>
      <c r="J150" s="466"/>
      <c r="K150" s="466"/>
      <c r="L150" s="466"/>
      <c r="M150" s="466"/>
      <c r="N150" s="466"/>
      <c r="O150" s="466"/>
      <c r="P150" s="466"/>
      <c r="Q150" s="466"/>
      <c r="R150" s="466"/>
      <c r="S150" s="466"/>
      <c r="T150" s="466"/>
      <c r="U150" s="466"/>
      <c r="V150" s="466"/>
      <c r="W150" s="466"/>
    </row>
    <row r="151" spans="1:23" ht="15" customHeight="1">
      <c r="A151" s="465"/>
      <c r="B151" s="466"/>
      <c r="C151" s="466"/>
      <c r="D151" s="466"/>
      <c r="E151" s="466"/>
      <c r="F151" s="466"/>
      <c r="G151" s="466"/>
      <c r="H151" s="466"/>
      <c r="I151" s="466"/>
      <c r="J151" s="466"/>
      <c r="K151" s="466"/>
      <c r="L151" s="466"/>
      <c r="M151" s="466"/>
      <c r="N151" s="466"/>
      <c r="O151" s="466"/>
      <c r="P151" s="466"/>
      <c r="Q151" s="466"/>
      <c r="R151" s="466"/>
      <c r="S151" s="466"/>
      <c r="T151" s="466"/>
      <c r="U151" s="466"/>
      <c r="V151" s="466"/>
      <c r="W151" s="466"/>
    </row>
    <row r="152" spans="1:23" ht="15" customHeight="1">
      <c r="A152" s="465"/>
      <c r="B152" s="466"/>
      <c r="C152" s="466"/>
      <c r="D152" s="466"/>
      <c r="E152" s="466"/>
      <c r="F152" s="466"/>
      <c r="G152" s="466"/>
      <c r="H152" s="466"/>
      <c r="I152" s="466"/>
      <c r="J152" s="466"/>
      <c r="K152" s="466"/>
      <c r="L152" s="466"/>
      <c r="M152" s="466"/>
      <c r="N152" s="466"/>
      <c r="O152" s="466"/>
      <c r="P152" s="466"/>
      <c r="Q152" s="466"/>
      <c r="R152" s="466"/>
      <c r="S152" s="466"/>
      <c r="T152" s="466"/>
      <c r="U152" s="466"/>
      <c r="V152" s="466"/>
      <c r="W152" s="466"/>
    </row>
    <row r="153" spans="1:23" ht="15" customHeight="1">
      <c r="A153" s="465"/>
      <c r="B153" s="466"/>
      <c r="C153" s="466"/>
      <c r="D153" s="466"/>
      <c r="E153" s="466"/>
      <c r="F153" s="466"/>
      <c r="G153" s="466"/>
      <c r="H153" s="466"/>
      <c r="I153" s="466"/>
      <c r="J153" s="466"/>
      <c r="K153" s="466"/>
      <c r="L153" s="466"/>
      <c r="M153" s="466"/>
      <c r="N153" s="466"/>
      <c r="O153" s="466"/>
      <c r="P153" s="466"/>
      <c r="Q153" s="466"/>
      <c r="R153" s="466"/>
      <c r="S153" s="466"/>
      <c r="T153" s="466"/>
      <c r="U153" s="466"/>
      <c r="V153" s="466"/>
      <c r="W153" s="466"/>
    </row>
    <row r="154" spans="1:23" ht="15" customHeight="1">
      <c r="A154" s="465"/>
      <c r="B154" s="466"/>
      <c r="C154" s="466"/>
      <c r="D154" s="466"/>
      <c r="E154" s="466"/>
      <c r="F154" s="466"/>
      <c r="G154" s="466"/>
      <c r="H154" s="466"/>
      <c r="I154" s="466"/>
      <c r="J154" s="466"/>
      <c r="K154" s="466"/>
      <c r="L154" s="466"/>
      <c r="M154" s="466"/>
      <c r="N154" s="466"/>
      <c r="O154" s="466"/>
      <c r="P154" s="466"/>
      <c r="Q154" s="466"/>
      <c r="R154" s="466"/>
      <c r="S154" s="466"/>
      <c r="T154" s="466"/>
      <c r="U154" s="466"/>
      <c r="V154" s="466"/>
      <c r="W154" s="466"/>
    </row>
    <row r="155" spans="1:23" ht="15" customHeight="1">
      <c r="A155" s="465"/>
      <c r="B155" s="466"/>
      <c r="C155" s="466"/>
      <c r="D155" s="466"/>
      <c r="E155" s="466"/>
      <c r="F155" s="466"/>
      <c r="G155" s="466"/>
      <c r="H155" s="466"/>
      <c r="I155" s="466"/>
      <c r="J155" s="466"/>
      <c r="K155" s="466"/>
      <c r="L155" s="466"/>
      <c r="M155" s="466"/>
      <c r="N155" s="466"/>
      <c r="O155" s="466"/>
      <c r="P155" s="466"/>
      <c r="Q155" s="466"/>
      <c r="R155" s="466"/>
      <c r="S155" s="466"/>
      <c r="T155" s="466"/>
      <c r="U155" s="466"/>
      <c r="V155" s="466"/>
      <c r="W155" s="466"/>
    </row>
    <row r="156" spans="1:23" ht="15" customHeight="1">
      <c r="A156" s="465"/>
      <c r="B156" s="466"/>
      <c r="C156" s="466"/>
      <c r="D156" s="466"/>
      <c r="E156" s="466"/>
      <c r="F156" s="466"/>
      <c r="G156" s="466"/>
      <c r="H156" s="466"/>
      <c r="I156" s="466"/>
      <c r="J156" s="466"/>
      <c r="K156" s="466"/>
      <c r="L156" s="466"/>
      <c r="M156" s="466"/>
      <c r="N156" s="466"/>
      <c r="O156" s="466"/>
      <c r="P156" s="466"/>
      <c r="Q156" s="466"/>
      <c r="R156" s="466"/>
      <c r="S156" s="466"/>
      <c r="T156" s="466"/>
      <c r="U156" s="466"/>
      <c r="V156" s="466"/>
      <c r="W156" s="466"/>
    </row>
    <row r="157" spans="1:23" ht="15" customHeight="1">
      <c r="A157" s="465"/>
      <c r="B157" s="466"/>
      <c r="C157" s="466"/>
      <c r="D157" s="466"/>
      <c r="E157" s="466"/>
      <c r="F157" s="466"/>
      <c r="G157" s="466"/>
      <c r="H157" s="466"/>
      <c r="I157" s="466"/>
      <c r="J157" s="466"/>
      <c r="K157" s="466"/>
      <c r="L157" s="466"/>
      <c r="M157" s="466"/>
      <c r="N157" s="466"/>
      <c r="O157" s="466"/>
      <c r="P157" s="466"/>
      <c r="Q157" s="466"/>
      <c r="R157" s="466"/>
      <c r="S157" s="466"/>
      <c r="T157" s="466"/>
      <c r="U157" s="466"/>
      <c r="V157" s="466"/>
      <c r="W157" s="466"/>
    </row>
    <row r="158" spans="1:23" ht="15" customHeight="1">
      <c r="A158" s="465"/>
      <c r="B158" s="466"/>
      <c r="C158" s="466"/>
      <c r="D158" s="466"/>
      <c r="E158" s="466"/>
      <c r="F158" s="466"/>
      <c r="G158" s="466"/>
      <c r="H158" s="466"/>
      <c r="I158" s="466"/>
      <c r="J158" s="466"/>
      <c r="K158" s="466"/>
      <c r="L158" s="466"/>
      <c r="M158" s="466"/>
      <c r="N158" s="466"/>
      <c r="O158" s="466"/>
      <c r="P158" s="466"/>
      <c r="Q158" s="466"/>
      <c r="R158" s="466"/>
      <c r="S158" s="466"/>
      <c r="T158" s="466"/>
      <c r="U158" s="466"/>
      <c r="V158" s="466"/>
      <c r="W158" s="466"/>
    </row>
    <row r="159" spans="1:23" ht="15" customHeight="1">
      <c r="A159" s="465"/>
      <c r="B159" s="466"/>
      <c r="C159" s="466"/>
      <c r="D159" s="466"/>
      <c r="E159" s="466"/>
      <c r="F159" s="466"/>
      <c r="G159" s="466"/>
      <c r="H159" s="466"/>
      <c r="I159" s="466"/>
      <c r="J159" s="466"/>
      <c r="K159" s="466"/>
      <c r="L159" s="466"/>
      <c r="M159" s="466"/>
      <c r="N159" s="466"/>
      <c r="O159" s="466"/>
      <c r="P159" s="466"/>
      <c r="Q159" s="466"/>
      <c r="R159" s="466"/>
      <c r="S159" s="466"/>
      <c r="T159" s="466"/>
      <c r="U159" s="466"/>
      <c r="V159" s="466"/>
      <c r="W159" s="466"/>
    </row>
    <row r="160" spans="1:23" ht="15" customHeight="1">
      <c r="A160" s="465"/>
      <c r="B160" s="466"/>
      <c r="C160" s="466"/>
      <c r="D160" s="466"/>
      <c r="E160" s="466"/>
      <c r="F160" s="466"/>
      <c r="G160" s="466"/>
      <c r="H160" s="466"/>
      <c r="I160" s="466"/>
      <c r="J160" s="466"/>
      <c r="K160" s="466"/>
      <c r="L160" s="466"/>
      <c r="M160" s="466"/>
      <c r="N160" s="466"/>
      <c r="O160" s="466"/>
      <c r="P160" s="466"/>
      <c r="Q160" s="466"/>
      <c r="R160" s="466"/>
      <c r="S160" s="466"/>
      <c r="T160" s="466"/>
      <c r="U160" s="466"/>
      <c r="V160" s="466"/>
      <c r="W160" s="466"/>
    </row>
    <row r="161" spans="1:23" ht="15" customHeight="1">
      <c r="A161" s="465"/>
      <c r="B161" s="466"/>
      <c r="C161" s="466"/>
      <c r="D161" s="466"/>
      <c r="E161" s="466"/>
      <c r="F161" s="466"/>
      <c r="G161" s="466"/>
      <c r="H161" s="466"/>
      <c r="I161" s="466"/>
      <c r="J161" s="466"/>
      <c r="K161" s="466"/>
      <c r="L161" s="466"/>
      <c r="M161" s="466"/>
      <c r="N161" s="466"/>
      <c r="O161" s="466"/>
      <c r="P161" s="466"/>
      <c r="Q161" s="466"/>
      <c r="R161" s="466"/>
      <c r="S161" s="466"/>
      <c r="T161" s="466"/>
      <c r="U161" s="466"/>
      <c r="V161" s="466"/>
      <c r="W161" s="466"/>
    </row>
    <row r="162" spans="1:23" ht="15" customHeight="1">
      <c r="A162" s="465"/>
      <c r="B162" s="466"/>
      <c r="C162" s="466"/>
      <c r="D162" s="466"/>
      <c r="E162" s="466"/>
      <c r="F162" s="466"/>
      <c r="G162" s="466"/>
      <c r="H162" s="466"/>
      <c r="I162" s="466"/>
      <c r="J162" s="466"/>
      <c r="K162" s="466"/>
      <c r="L162" s="466"/>
      <c r="M162" s="466"/>
      <c r="N162" s="466"/>
      <c r="O162" s="466"/>
      <c r="P162" s="466"/>
      <c r="Q162" s="466"/>
      <c r="R162" s="466"/>
      <c r="S162" s="466"/>
      <c r="T162" s="466"/>
      <c r="U162" s="466"/>
      <c r="V162" s="466"/>
      <c r="W162" s="466"/>
    </row>
    <row r="163" spans="1:23" ht="15" customHeight="1">
      <c r="A163" s="465"/>
      <c r="B163" s="466"/>
      <c r="C163" s="466"/>
      <c r="D163" s="466"/>
      <c r="E163" s="466"/>
      <c r="F163" s="466"/>
      <c r="G163" s="466"/>
      <c r="H163" s="466"/>
      <c r="I163" s="466"/>
      <c r="J163" s="466"/>
      <c r="K163" s="466"/>
      <c r="L163" s="466"/>
      <c r="M163" s="466"/>
      <c r="N163" s="466"/>
      <c r="O163" s="466"/>
      <c r="P163" s="466"/>
      <c r="Q163" s="466"/>
      <c r="R163" s="466"/>
      <c r="S163" s="466"/>
      <c r="T163" s="466"/>
      <c r="U163" s="466"/>
      <c r="V163" s="466"/>
      <c r="W163" s="466"/>
    </row>
    <row r="164" spans="1:23" ht="15" customHeight="1">
      <c r="A164" s="465"/>
      <c r="B164" s="466"/>
      <c r="C164" s="466"/>
      <c r="D164" s="466"/>
      <c r="E164" s="466"/>
      <c r="F164" s="466"/>
      <c r="G164" s="466"/>
      <c r="H164" s="466"/>
      <c r="I164" s="466"/>
      <c r="J164" s="466"/>
      <c r="K164" s="466"/>
      <c r="L164" s="466"/>
      <c r="M164" s="466"/>
      <c r="N164" s="466"/>
      <c r="O164" s="466"/>
      <c r="P164" s="466"/>
      <c r="Q164" s="466"/>
      <c r="R164" s="466"/>
      <c r="S164" s="466"/>
      <c r="T164" s="466"/>
      <c r="U164" s="466"/>
      <c r="V164" s="466"/>
      <c r="W164" s="466"/>
    </row>
    <row r="165" spans="1:23" ht="15" customHeight="1">
      <c r="A165" s="465"/>
      <c r="B165" s="466"/>
      <c r="C165" s="466"/>
      <c r="D165" s="466"/>
      <c r="E165" s="466"/>
      <c r="F165" s="466"/>
      <c r="G165" s="466"/>
      <c r="H165" s="466"/>
      <c r="I165" s="466"/>
      <c r="J165" s="466"/>
      <c r="K165" s="466"/>
      <c r="L165" s="466"/>
      <c r="M165" s="466"/>
      <c r="N165" s="466"/>
      <c r="O165" s="466"/>
      <c r="P165" s="466"/>
      <c r="Q165" s="466"/>
      <c r="R165" s="466"/>
      <c r="S165" s="466"/>
      <c r="T165" s="466"/>
      <c r="U165" s="466"/>
      <c r="V165" s="466"/>
      <c r="W165" s="466"/>
    </row>
    <row r="166" spans="1:23" ht="15" customHeight="1">
      <c r="A166" s="465"/>
      <c r="B166" s="466"/>
      <c r="C166" s="466"/>
      <c r="D166" s="466"/>
      <c r="E166" s="466"/>
      <c r="F166" s="466"/>
      <c r="G166" s="466"/>
      <c r="H166" s="466"/>
      <c r="I166" s="466"/>
      <c r="J166" s="466"/>
      <c r="K166" s="466"/>
      <c r="L166" s="466"/>
      <c r="M166" s="466"/>
      <c r="N166" s="466"/>
      <c r="O166" s="466"/>
      <c r="P166" s="466"/>
      <c r="Q166" s="466"/>
      <c r="R166" s="466"/>
      <c r="S166" s="466"/>
      <c r="T166" s="466"/>
      <c r="U166" s="466"/>
      <c r="V166" s="466"/>
      <c r="W166" s="466"/>
    </row>
    <row r="167" spans="1:23" ht="15" customHeight="1">
      <c r="A167" s="465"/>
      <c r="B167" s="466"/>
      <c r="C167" s="466"/>
      <c r="D167" s="466"/>
      <c r="E167" s="466"/>
      <c r="F167" s="466"/>
      <c r="G167" s="466"/>
      <c r="H167" s="466"/>
      <c r="I167" s="466"/>
      <c r="J167" s="466"/>
      <c r="K167" s="466"/>
      <c r="L167" s="466"/>
      <c r="M167" s="466"/>
      <c r="N167" s="466"/>
      <c r="O167" s="466"/>
      <c r="P167" s="466"/>
      <c r="Q167" s="466"/>
      <c r="R167" s="466"/>
      <c r="S167" s="466"/>
      <c r="T167" s="466"/>
      <c r="U167" s="466"/>
      <c r="V167" s="466"/>
      <c r="W167" s="466"/>
    </row>
    <row r="168" spans="1:23" ht="15" customHeight="1">
      <c r="A168" s="465"/>
      <c r="B168" s="466"/>
      <c r="C168" s="466"/>
      <c r="D168" s="466"/>
      <c r="E168" s="466"/>
      <c r="F168" s="466"/>
      <c r="G168" s="466"/>
      <c r="H168" s="466"/>
      <c r="I168" s="466"/>
      <c r="J168" s="466"/>
      <c r="K168" s="466"/>
      <c r="L168" s="466"/>
      <c r="M168" s="466"/>
      <c r="N168" s="466"/>
      <c r="O168" s="466"/>
      <c r="P168" s="466"/>
      <c r="Q168" s="466"/>
      <c r="R168" s="466"/>
      <c r="S168" s="466"/>
      <c r="T168" s="466"/>
      <c r="U168" s="466"/>
      <c r="V168" s="466"/>
      <c r="W168" s="466"/>
    </row>
    <row r="169" spans="1:23" ht="15" customHeight="1">
      <c r="A169" s="465"/>
      <c r="B169" s="466"/>
      <c r="C169" s="466"/>
      <c r="D169" s="466"/>
      <c r="E169" s="466"/>
      <c r="F169" s="466"/>
      <c r="G169" s="466"/>
      <c r="H169" s="466"/>
      <c r="I169" s="466"/>
      <c r="J169" s="466"/>
      <c r="K169" s="466"/>
      <c r="L169" s="466"/>
      <c r="M169" s="466"/>
      <c r="N169" s="466"/>
      <c r="O169" s="466"/>
      <c r="P169" s="466"/>
      <c r="Q169" s="466"/>
      <c r="R169" s="466"/>
      <c r="S169" s="466"/>
      <c r="T169" s="466"/>
      <c r="U169" s="466"/>
      <c r="V169" s="466"/>
      <c r="W169" s="466"/>
    </row>
    <row r="170" spans="1:23" ht="15" customHeight="1">
      <c r="A170" s="465"/>
      <c r="B170" s="466"/>
      <c r="C170" s="466"/>
      <c r="D170" s="466"/>
      <c r="E170" s="466"/>
      <c r="F170" s="466"/>
      <c r="G170" s="466"/>
      <c r="H170" s="466"/>
      <c r="I170" s="466"/>
      <c r="J170" s="466"/>
      <c r="K170" s="466"/>
      <c r="L170" s="466"/>
      <c r="M170" s="466"/>
      <c r="N170" s="466"/>
      <c r="O170" s="466"/>
      <c r="P170" s="466"/>
      <c r="Q170" s="466"/>
      <c r="R170" s="466"/>
      <c r="S170" s="466"/>
      <c r="T170" s="466"/>
      <c r="U170" s="466"/>
      <c r="V170" s="466"/>
      <c r="W170" s="466"/>
    </row>
    <row r="171" spans="1:23" ht="15" customHeight="1">
      <c r="A171" s="465"/>
      <c r="B171" s="466"/>
      <c r="C171" s="466"/>
      <c r="D171" s="466"/>
      <c r="E171" s="466"/>
      <c r="F171" s="466"/>
      <c r="G171" s="466"/>
      <c r="H171" s="466"/>
      <c r="I171" s="466"/>
      <c r="J171" s="466"/>
      <c r="K171" s="466"/>
      <c r="L171" s="466"/>
      <c r="M171" s="466"/>
      <c r="N171" s="466"/>
      <c r="O171" s="466"/>
      <c r="P171" s="466"/>
      <c r="Q171" s="466"/>
      <c r="R171" s="466"/>
      <c r="S171" s="466"/>
      <c r="T171" s="466"/>
      <c r="U171" s="466"/>
      <c r="V171" s="466"/>
      <c r="W171" s="466"/>
    </row>
    <row r="172" spans="1:23" ht="15" customHeight="1">
      <c r="A172" s="465"/>
      <c r="B172" s="466"/>
      <c r="C172" s="466"/>
      <c r="D172" s="466"/>
      <c r="E172" s="466"/>
      <c r="F172" s="466"/>
      <c r="G172" s="466"/>
      <c r="H172" s="466"/>
      <c r="I172" s="466"/>
      <c r="J172" s="466"/>
      <c r="K172" s="466"/>
      <c r="L172" s="466"/>
      <c r="M172" s="466"/>
      <c r="N172" s="466"/>
      <c r="O172" s="466"/>
      <c r="P172" s="466"/>
      <c r="Q172" s="466"/>
      <c r="R172" s="466"/>
      <c r="S172" s="466"/>
      <c r="T172" s="466"/>
      <c r="U172" s="466"/>
      <c r="V172" s="466"/>
      <c r="W172" s="466"/>
    </row>
    <row r="173" spans="1:23" ht="15" customHeight="1">
      <c r="A173" s="465"/>
      <c r="B173" s="466"/>
      <c r="C173" s="466"/>
      <c r="D173" s="466"/>
      <c r="E173" s="466"/>
      <c r="F173" s="466"/>
      <c r="G173" s="466"/>
      <c r="H173" s="466"/>
      <c r="I173" s="466"/>
      <c r="J173" s="466"/>
      <c r="K173" s="466"/>
      <c r="L173" s="466"/>
      <c r="M173" s="466"/>
      <c r="N173" s="466"/>
      <c r="O173" s="466"/>
      <c r="P173" s="466"/>
      <c r="Q173" s="466"/>
      <c r="R173" s="466"/>
      <c r="S173" s="466"/>
      <c r="T173" s="466"/>
      <c r="U173" s="466"/>
      <c r="V173" s="466"/>
      <c r="W173" s="466"/>
    </row>
    <row r="174" spans="1:23" ht="15" customHeight="1">
      <c r="A174" s="465"/>
      <c r="B174" s="466"/>
      <c r="C174" s="466"/>
      <c r="D174" s="466"/>
      <c r="E174" s="466"/>
      <c r="F174" s="466"/>
      <c r="G174" s="466"/>
      <c r="H174" s="466"/>
      <c r="I174" s="466"/>
      <c r="J174" s="466"/>
      <c r="K174" s="466"/>
      <c r="L174" s="466"/>
      <c r="M174" s="466"/>
      <c r="N174" s="466"/>
      <c r="O174" s="466"/>
      <c r="P174" s="466"/>
      <c r="Q174" s="466"/>
      <c r="R174" s="466"/>
      <c r="S174" s="466"/>
      <c r="T174" s="466"/>
      <c r="U174" s="466"/>
      <c r="V174" s="466"/>
      <c r="W174" s="466"/>
    </row>
    <row r="175" spans="1:23" ht="15" customHeight="1">
      <c r="A175" s="465"/>
      <c r="B175" s="466"/>
      <c r="C175" s="466"/>
      <c r="D175" s="466"/>
      <c r="E175" s="466"/>
      <c r="F175" s="466"/>
      <c r="G175" s="466"/>
      <c r="H175" s="466"/>
      <c r="I175" s="466"/>
      <c r="J175" s="466"/>
      <c r="K175" s="466"/>
      <c r="L175" s="466"/>
      <c r="M175" s="466"/>
      <c r="N175" s="466"/>
      <c r="O175" s="466"/>
      <c r="P175" s="466"/>
      <c r="Q175" s="466"/>
      <c r="R175" s="466"/>
      <c r="S175" s="466"/>
      <c r="T175" s="466"/>
      <c r="U175" s="466"/>
      <c r="V175" s="466"/>
      <c r="W175" s="466"/>
    </row>
    <row r="176" spans="1:23" ht="15" customHeight="1">
      <c r="A176" s="465"/>
      <c r="B176" s="466"/>
      <c r="C176" s="466"/>
      <c r="D176" s="466"/>
      <c r="E176" s="466"/>
      <c r="F176" s="466"/>
      <c r="G176" s="466"/>
      <c r="H176" s="466"/>
      <c r="I176" s="466"/>
      <c r="J176" s="466"/>
      <c r="K176" s="466"/>
      <c r="L176" s="466"/>
      <c r="M176" s="466"/>
      <c r="N176" s="466"/>
      <c r="O176" s="466"/>
      <c r="P176" s="466"/>
      <c r="Q176" s="466"/>
      <c r="R176" s="466"/>
      <c r="S176" s="466"/>
      <c r="T176" s="466"/>
      <c r="U176" s="466"/>
      <c r="V176" s="466"/>
      <c r="W176" s="466"/>
    </row>
    <row r="177" spans="1:23" ht="15" customHeight="1">
      <c r="A177" s="465"/>
      <c r="B177" s="466"/>
      <c r="C177" s="466"/>
      <c r="D177" s="466"/>
      <c r="E177" s="466"/>
      <c r="F177" s="466"/>
      <c r="G177" s="466"/>
      <c r="H177" s="466"/>
      <c r="I177" s="466"/>
      <c r="J177" s="466"/>
      <c r="K177" s="466"/>
      <c r="L177" s="466"/>
      <c r="M177" s="466"/>
      <c r="N177" s="466"/>
      <c r="O177" s="466"/>
      <c r="P177" s="466"/>
      <c r="Q177" s="466"/>
      <c r="R177" s="466"/>
      <c r="S177" s="466"/>
      <c r="T177" s="466"/>
      <c r="U177" s="466"/>
      <c r="V177" s="466"/>
      <c r="W177" s="466"/>
    </row>
    <row r="178" spans="1:23" ht="15" customHeight="1">
      <c r="A178" s="465"/>
      <c r="B178" s="466"/>
      <c r="C178" s="466"/>
      <c r="D178" s="466"/>
      <c r="E178" s="466"/>
      <c r="F178" s="466"/>
      <c r="G178" s="466"/>
      <c r="H178" s="466"/>
      <c r="I178" s="466"/>
      <c r="J178" s="466"/>
      <c r="K178" s="466"/>
      <c r="L178" s="466"/>
      <c r="M178" s="466"/>
      <c r="N178" s="466"/>
      <c r="O178" s="466"/>
      <c r="P178" s="466"/>
      <c r="Q178" s="466"/>
      <c r="R178" s="466"/>
      <c r="S178" s="466"/>
      <c r="T178" s="466"/>
      <c r="U178" s="466"/>
      <c r="V178" s="466"/>
      <c r="W178" s="466"/>
    </row>
    <row r="179" spans="1:23" ht="15" customHeight="1">
      <c r="A179" s="465"/>
      <c r="B179" s="466"/>
      <c r="C179" s="466"/>
      <c r="D179" s="466"/>
      <c r="E179" s="466"/>
      <c r="F179" s="466"/>
      <c r="G179" s="466"/>
      <c r="H179" s="466"/>
      <c r="I179" s="466"/>
      <c r="J179" s="466"/>
      <c r="K179" s="466"/>
      <c r="L179" s="466"/>
      <c r="M179" s="466"/>
      <c r="N179" s="466"/>
      <c r="O179" s="466"/>
      <c r="P179" s="466"/>
      <c r="Q179" s="466"/>
      <c r="R179" s="466"/>
      <c r="S179" s="466"/>
      <c r="T179" s="466"/>
      <c r="U179" s="466"/>
      <c r="V179" s="466"/>
      <c r="W179" s="466"/>
    </row>
    <row r="180" spans="1:23" ht="15" customHeight="1">
      <c r="A180" s="465"/>
      <c r="B180" s="466"/>
      <c r="C180" s="466"/>
      <c r="D180" s="466"/>
      <c r="E180" s="466"/>
      <c r="F180" s="466"/>
      <c r="G180" s="466"/>
      <c r="H180" s="466"/>
      <c r="I180" s="466"/>
      <c r="J180" s="466"/>
      <c r="K180" s="466"/>
      <c r="L180" s="466"/>
      <c r="M180" s="466"/>
      <c r="N180" s="466"/>
      <c r="O180" s="466"/>
      <c r="P180" s="466"/>
      <c r="Q180" s="466"/>
      <c r="R180" s="466"/>
      <c r="S180" s="466"/>
      <c r="T180" s="466"/>
      <c r="U180" s="466"/>
      <c r="V180" s="466"/>
      <c r="W180" s="466"/>
    </row>
    <row r="181" spans="1:23" ht="15" customHeight="1">
      <c r="A181" s="465"/>
      <c r="B181" s="466"/>
      <c r="C181" s="466"/>
      <c r="D181" s="466"/>
      <c r="E181" s="466"/>
      <c r="F181" s="466"/>
      <c r="G181" s="466"/>
      <c r="H181" s="466"/>
      <c r="I181" s="466"/>
      <c r="J181" s="466"/>
      <c r="K181" s="466"/>
      <c r="L181" s="466"/>
      <c r="M181" s="466"/>
      <c r="N181" s="466"/>
      <c r="O181" s="466"/>
      <c r="P181" s="466"/>
      <c r="Q181" s="466"/>
      <c r="R181" s="466"/>
      <c r="S181" s="466"/>
      <c r="T181" s="466"/>
      <c r="U181" s="466"/>
      <c r="V181" s="466"/>
      <c r="W181" s="466"/>
    </row>
    <row r="182" spans="1:23" ht="15" customHeight="1">
      <c r="A182" s="465"/>
      <c r="B182" s="466"/>
      <c r="C182" s="466"/>
      <c r="D182" s="466"/>
      <c r="E182" s="466"/>
      <c r="F182" s="466"/>
      <c r="G182" s="466"/>
      <c r="H182" s="466"/>
      <c r="I182" s="466"/>
      <c r="J182" s="466"/>
      <c r="K182" s="466"/>
      <c r="L182" s="466"/>
      <c r="M182" s="466"/>
      <c r="N182" s="466"/>
      <c r="O182" s="466"/>
      <c r="P182" s="466"/>
      <c r="Q182" s="466"/>
      <c r="R182" s="466"/>
      <c r="S182" s="466"/>
      <c r="T182" s="466"/>
      <c r="U182" s="466"/>
      <c r="V182" s="466"/>
      <c r="W182" s="466"/>
    </row>
    <row r="183" spans="1:23" ht="15" customHeight="1">
      <c r="A183" s="465"/>
      <c r="B183" s="466"/>
      <c r="C183" s="466"/>
      <c r="D183" s="466"/>
      <c r="E183" s="466"/>
      <c r="F183" s="466"/>
      <c r="G183" s="466"/>
      <c r="H183" s="466"/>
      <c r="I183" s="466"/>
      <c r="J183" s="466"/>
      <c r="K183" s="466"/>
      <c r="L183" s="466"/>
      <c r="M183" s="466"/>
      <c r="N183" s="466"/>
      <c r="O183" s="466"/>
      <c r="P183" s="466"/>
      <c r="Q183" s="466"/>
      <c r="R183" s="466"/>
      <c r="S183" s="466"/>
      <c r="T183" s="466"/>
      <c r="U183" s="466"/>
      <c r="V183" s="466"/>
      <c r="W183" s="466"/>
    </row>
    <row r="184" spans="1:23" ht="15" customHeight="1">
      <c r="A184" s="465"/>
      <c r="B184" s="466"/>
      <c r="C184" s="466"/>
      <c r="D184" s="466"/>
      <c r="E184" s="466"/>
      <c r="F184" s="466"/>
      <c r="G184" s="466"/>
      <c r="H184" s="466"/>
      <c r="I184" s="466"/>
      <c r="J184" s="466"/>
      <c r="K184" s="466"/>
      <c r="L184" s="466"/>
      <c r="M184" s="466"/>
      <c r="N184" s="466"/>
      <c r="O184" s="466"/>
      <c r="P184" s="466"/>
      <c r="Q184" s="466"/>
      <c r="R184" s="466"/>
      <c r="S184" s="466"/>
      <c r="T184" s="466"/>
      <c r="U184" s="466"/>
      <c r="V184" s="466"/>
      <c r="W184" s="466"/>
    </row>
    <row r="185" spans="1:23" ht="15" customHeight="1">
      <c r="A185" s="465"/>
      <c r="B185" s="466"/>
      <c r="C185" s="466"/>
      <c r="D185" s="466"/>
      <c r="E185" s="466"/>
      <c r="F185" s="466"/>
      <c r="G185" s="466"/>
      <c r="H185" s="466"/>
      <c r="I185" s="466"/>
      <c r="J185" s="466"/>
      <c r="K185" s="466"/>
      <c r="L185" s="466"/>
      <c r="M185" s="466"/>
      <c r="N185" s="466"/>
      <c r="O185" s="466"/>
      <c r="P185" s="466"/>
      <c r="Q185" s="466"/>
      <c r="R185" s="466"/>
      <c r="S185" s="466"/>
      <c r="T185" s="466"/>
      <c r="U185" s="466"/>
      <c r="V185" s="466"/>
      <c r="W185" s="466"/>
    </row>
    <row r="186" spans="1:23" ht="15" customHeight="1">
      <c r="A186" s="465"/>
      <c r="B186" s="466"/>
      <c r="C186" s="466"/>
      <c r="D186" s="466"/>
      <c r="E186" s="466"/>
      <c r="F186" s="466"/>
      <c r="G186" s="466"/>
      <c r="H186" s="466"/>
      <c r="I186" s="466"/>
      <c r="J186" s="466"/>
      <c r="K186" s="466"/>
      <c r="L186" s="466"/>
      <c r="M186" s="466"/>
      <c r="N186" s="466"/>
      <c r="O186" s="466"/>
      <c r="P186" s="466"/>
      <c r="Q186" s="466"/>
      <c r="R186" s="466"/>
      <c r="S186" s="466"/>
      <c r="T186" s="466"/>
      <c r="U186" s="466"/>
      <c r="V186" s="466"/>
      <c r="W186" s="466"/>
    </row>
    <row r="187" spans="1:23" ht="15" customHeight="1">
      <c r="A187" s="465"/>
      <c r="B187" s="466"/>
      <c r="C187" s="466"/>
      <c r="D187" s="466"/>
      <c r="E187" s="466"/>
      <c r="F187" s="466"/>
      <c r="G187" s="466"/>
      <c r="H187" s="466"/>
      <c r="I187" s="466"/>
      <c r="J187" s="466"/>
      <c r="K187" s="466"/>
      <c r="L187" s="466"/>
      <c r="M187" s="466"/>
      <c r="N187" s="466"/>
      <c r="O187" s="466"/>
      <c r="P187" s="466"/>
      <c r="Q187" s="466"/>
      <c r="R187" s="466"/>
      <c r="S187" s="466"/>
      <c r="T187" s="466"/>
      <c r="U187" s="466"/>
      <c r="V187" s="466"/>
      <c r="W187" s="466"/>
    </row>
    <row r="188" spans="1:23" ht="15" customHeight="1">
      <c r="A188" s="465"/>
      <c r="B188" s="466"/>
      <c r="C188" s="466"/>
      <c r="D188" s="466"/>
      <c r="E188" s="466"/>
      <c r="F188" s="466"/>
      <c r="G188" s="466"/>
      <c r="H188" s="466"/>
      <c r="I188" s="466"/>
      <c r="J188" s="466"/>
      <c r="K188" s="466"/>
      <c r="L188" s="466"/>
      <c r="M188" s="466"/>
      <c r="N188" s="466"/>
      <c r="O188" s="466"/>
      <c r="P188" s="466"/>
      <c r="Q188" s="466"/>
      <c r="R188" s="466"/>
      <c r="S188" s="466"/>
      <c r="T188" s="466"/>
      <c r="U188" s="466"/>
      <c r="V188" s="466"/>
      <c r="W188" s="466"/>
    </row>
    <row r="189" spans="1:23" ht="15" customHeight="1">
      <c r="A189" s="465"/>
      <c r="B189" s="466"/>
      <c r="C189" s="466"/>
      <c r="D189" s="466"/>
      <c r="E189" s="466"/>
      <c r="F189" s="466"/>
      <c r="G189" s="466"/>
      <c r="H189" s="466"/>
      <c r="I189" s="466"/>
      <c r="J189" s="466"/>
      <c r="K189" s="466"/>
      <c r="L189" s="466"/>
      <c r="M189" s="466"/>
      <c r="N189" s="466"/>
      <c r="O189" s="466"/>
      <c r="P189" s="466"/>
      <c r="Q189" s="466"/>
      <c r="R189" s="466"/>
      <c r="S189" s="466"/>
      <c r="T189" s="466"/>
      <c r="U189" s="466"/>
      <c r="V189" s="466"/>
      <c r="W189" s="466"/>
    </row>
    <row r="190" spans="1:23" ht="15" customHeight="1">
      <c r="A190" s="465"/>
      <c r="B190" s="466"/>
      <c r="C190" s="466"/>
      <c r="D190" s="466"/>
      <c r="E190" s="466"/>
      <c r="F190" s="466"/>
      <c r="G190" s="466"/>
      <c r="H190" s="466"/>
      <c r="I190" s="466"/>
      <c r="J190" s="466"/>
      <c r="K190" s="466"/>
      <c r="L190" s="466"/>
      <c r="M190" s="466"/>
      <c r="N190" s="466"/>
      <c r="O190" s="466"/>
      <c r="P190" s="466"/>
      <c r="Q190" s="466"/>
      <c r="R190" s="466"/>
      <c r="S190" s="466"/>
      <c r="T190" s="466"/>
      <c r="U190" s="466"/>
      <c r="V190" s="466"/>
      <c r="W190" s="466"/>
    </row>
    <row r="191" spans="1:23" ht="15" customHeight="1">
      <c r="A191" s="465"/>
      <c r="B191" s="466"/>
      <c r="C191" s="466"/>
      <c r="D191" s="466"/>
      <c r="E191" s="466"/>
      <c r="F191" s="466"/>
      <c r="G191" s="466"/>
      <c r="H191" s="466"/>
      <c r="I191" s="466"/>
      <c r="J191" s="466"/>
      <c r="K191" s="466"/>
      <c r="L191" s="466"/>
      <c r="M191" s="466"/>
      <c r="N191" s="466"/>
      <c r="O191" s="466"/>
      <c r="P191" s="466"/>
      <c r="Q191" s="466"/>
      <c r="R191" s="466"/>
      <c r="S191" s="466"/>
      <c r="T191" s="466"/>
      <c r="U191" s="466"/>
      <c r="V191" s="466"/>
      <c r="W191" s="466"/>
    </row>
    <row r="192" spans="1:23" ht="15" customHeight="1">
      <c r="A192" s="465"/>
      <c r="B192" s="466"/>
      <c r="C192" s="466"/>
      <c r="D192" s="466"/>
      <c r="E192" s="466"/>
      <c r="F192" s="466"/>
      <c r="G192" s="466"/>
      <c r="H192" s="466"/>
      <c r="I192" s="466"/>
      <c r="J192" s="466"/>
      <c r="K192" s="466"/>
      <c r="L192" s="466"/>
      <c r="M192" s="466"/>
      <c r="N192" s="466"/>
      <c r="O192" s="466"/>
      <c r="P192" s="466"/>
      <c r="Q192" s="466"/>
      <c r="R192" s="466"/>
      <c r="S192" s="466"/>
      <c r="T192" s="466"/>
      <c r="U192" s="466"/>
      <c r="V192" s="466"/>
      <c r="W192" s="466"/>
    </row>
    <row r="193" spans="1:23" ht="15" customHeight="1">
      <c r="A193" s="465"/>
      <c r="B193" s="466"/>
      <c r="C193" s="466"/>
      <c r="D193" s="466"/>
      <c r="E193" s="466"/>
      <c r="F193" s="466"/>
      <c r="G193" s="466"/>
      <c r="H193" s="466"/>
      <c r="I193" s="466"/>
      <c r="J193" s="466"/>
      <c r="K193" s="466"/>
      <c r="L193" s="466"/>
      <c r="M193" s="466"/>
      <c r="N193" s="466"/>
      <c r="O193" s="466"/>
      <c r="P193" s="466"/>
      <c r="Q193" s="466"/>
      <c r="R193" s="466"/>
      <c r="S193" s="466"/>
      <c r="T193" s="466"/>
      <c r="U193" s="466"/>
      <c r="V193" s="466"/>
      <c r="W193" s="466"/>
    </row>
    <row r="194" spans="1:23" ht="15" customHeight="1">
      <c r="A194" s="465"/>
      <c r="B194" s="466"/>
      <c r="C194" s="466"/>
      <c r="D194" s="466"/>
      <c r="E194" s="466"/>
      <c r="F194" s="466"/>
      <c r="G194" s="466"/>
      <c r="H194" s="466"/>
      <c r="I194" s="466"/>
      <c r="J194" s="466"/>
      <c r="K194" s="466"/>
      <c r="L194" s="466"/>
      <c r="M194" s="466"/>
      <c r="N194" s="466"/>
      <c r="O194" s="466"/>
      <c r="P194" s="466"/>
      <c r="Q194" s="466"/>
      <c r="R194" s="466"/>
      <c r="S194" s="466"/>
      <c r="T194" s="466"/>
      <c r="U194" s="466"/>
      <c r="V194" s="466"/>
      <c r="W194" s="466"/>
    </row>
    <row r="195" spans="1:23" ht="15" customHeight="1">
      <c r="A195" s="465"/>
      <c r="B195" s="466"/>
      <c r="C195" s="466"/>
      <c r="D195" s="466"/>
      <c r="E195" s="466"/>
      <c r="F195" s="466"/>
      <c r="G195" s="466"/>
      <c r="H195" s="466"/>
      <c r="I195" s="466"/>
      <c r="J195" s="466"/>
      <c r="K195" s="466"/>
      <c r="L195" s="466"/>
      <c r="M195" s="466"/>
      <c r="N195" s="466"/>
      <c r="O195" s="466"/>
      <c r="P195" s="466"/>
      <c r="Q195" s="466"/>
      <c r="R195" s="466"/>
      <c r="S195" s="466"/>
      <c r="T195" s="466"/>
      <c r="U195" s="466"/>
      <c r="V195" s="466"/>
      <c r="W195" s="466"/>
    </row>
    <row r="196" spans="1:23" ht="15" customHeight="1">
      <c r="A196" s="465"/>
      <c r="B196" s="466"/>
      <c r="C196" s="466"/>
      <c r="D196" s="466"/>
      <c r="E196" s="466"/>
      <c r="F196" s="466"/>
      <c r="G196" s="466"/>
      <c r="H196" s="466"/>
      <c r="I196" s="466"/>
      <c r="J196" s="466"/>
      <c r="K196" s="466"/>
      <c r="L196" s="466"/>
      <c r="M196" s="466"/>
      <c r="N196" s="466"/>
      <c r="O196" s="466"/>
      <c r="P196" s="466"/>
      <c r="Q196" s="466"/>
      <c r="R196" s="466"/>
      <c r="S196" s="466"/>
      <c r="T196" s="466"/>
      <c r="U196" s="466"/>
      <c r="V196" s="466"/>
      <c r="W196" s="466"/>
    </row>
    <row r="197" spans="1:23">
      <c r="A197" s="465"/>
      <c r="B197" s="466"/>
      <c r="C197" s="466"/>
      <c r="D197" s="466"/>
      <c r="E197" s="466"/>
      <c r="F197" s="466"/>
      <c r="G197" s="466"/>
      <c r="H197" s="466"/>
      <c r="I197" s="466"/>
      <c r="J197" s="466"/>
      <c r="K197" s="466"/>
      <c r="L197" s="466"/>
      <c r="M197" s="466"/>
      <c r="N197" s="466"/>
      <c r="O197" s="466"/>
      <c r="P197" s="466"/>
      <c r="Q197" s="466"/>
      <c r="R197" s="466"/>
      <c r="S197" s="466"/>
      <c r="T197" s="466"/>
      <c r="U197" s="466"/>
      <c r="V197" s="466"/>
      <c r="W197" s="466"/>
    </row>
    <row r="198" spans="1:23">
      <c r="A198" s="465"/>
      <c r="B198" s="466"/>
      <c r="C198" s="466"/>
      <c r="D198" s="466"/>
      <c r="E198" s="466"/>
      <c r="F198" s="466"/>
      <c r="G198" s="466"/>
      <c r="H198" s="466"/>
      <c r="I198" s="466"/>
      <c r="J198" s="466"/>
      <c r="K198" s="466"/>
      <c r="L198" s="466"/>
      <c r="M198" s="466"/>
      <c r="N198" s="466"/>
      <c r="O198" s="466"/>
      <c r="P198" s="466"/>
      <c r="Q198" s="466"/>
      <c r="R198" s="466"/>
      <c r="S198" s="466"/>
      <c r="T198" s="466"/>
      <c r="U198" s="466"/>
      <c r="V198" s="466"/>
      <c r="W198" s="466"/>
    </row>
    <row r="199" spans="1:23">
      <c r="A199" s="465"/>
      <c r="B199" s="466"/>
      <c r="C199" s="466"/>
      <c r="D199" s="466"/>
      <c r="E199" s="466"/>
      <c r="F199" s="466"/>
      <c r="G199" s="466"/>
      <c r="H199" s="466"/>
      <c r="I199" s="466"/>
      <c r="J199" s="466"/>
      <c r="K199" s="466"/>
      <c r="L199" s="466"/>
      <c r="M199" s="466"/>
      <c r="N199" s="466"/>
      <c r="O199" s="466"/>
      <c r="P199" s="466"/>
      <c r="Q199" s="466"/>
      <c r="R199" s="466"/>
      <c r="S199" s="466"/>
      <c r="T199" s="466"/>
      <c r="U199" s="466"/>
      <c r="V199" s="466"/>
      <c r="W199" s="466"/>
    </row>
    <row r="200" spans="1:23">
      <c r="A200" s="465"/>
      <c r="B200" s="466"/>
      <c r="C200" s="466"/>
      <c r="D200" s="466"/>
      <c r="E200" s="466"/>
      <c r="F200" s="466"/>
      <c r="G200" s="466"/>
      <c r="H200" s="466"/>
      <c r="I200" s="466"/>
      <c r="J200" s="466"/>
      <c r="K200" s="466"/>
      <c r="L200" s="466"/>
      <c r="M200" s="466"/>
      <c r="N200" s="466"/>
      <c r="O200" s="466"/>
      <c r="P200" s="466"/>
      <c r="Q200" s="466"/>
      <c r="R200" s="466"/>
      <c r="S200" s="466"/>
      <c r="T200" s="466"/>
      <c r="U200" s="466"/>
      <c r="V200" s="466"/>
      <c r="W200" s="466"/>
    </row>
    <row r="201" spans="1:23">
      <c r="A201" s="465"/>
      <c r="B201" s="466"/>
      <c r="C201" s="466"/>
      <c r="D201" s="466"/>
      <c r="E201" s="466"/>
      <c r="F201" s="466"/>
      <c r="G201" s="466"/>
      <c r="H201" s="466"/>
      <c r="I201" s="466"/>
      <c r="J201" s="466"/>
      <c r="K201" s="466"/>
      <c r="L201" s="466"/>
      <c r="M201" s="466"/>
      <c r="N201" s="466"/>
      <c r="O201" s="466"/>
      <c r="P201" s="466"/>
      <c r="Q201" s="466"/>
      <c r="R201" s="466"/>
      <c r="S201" s="466"/>
      <c r="T201" s="466"/>
      <c r="U201" s="466"/>
      <c r="V201" s="466"/>
      <c r="W201" s="466"/>
    </row>
    <row r="202" spans="1:23">
      <c r="A202" s="465"/>
      <c r="B202" s="466"/>
      <c r="C202" s="466"/>
      <c r="D202" s="466"/>
      <c r="E202" s="466"/>
      <c r="F202" s="466"/>
      <c r="G202" s="466"/>
      <c r="H202" s="466"/>
      <c r="I202" s="466"/>
      <c r="J202" s="466"/>
      <c r="K202" s="466"/>
      <c r="L202" s="466"/>
      <c r="M202" s="466"/>
      <c r="N202" s="466"/>
      <c r="O202" s="466"/>
      <c r="P202" s="466"/>
      <c r="Q202" s="466"/>
      <c r="R202" s="466"/>
      <c r="S202" s="466"/>
      <c r="T202" s="466"/>
      <c r="U202" s="466"/>
      <c r="V202" s="466"/>
      <c r="W202" s="466"/>
    </row>
    <row r="203" spans="1:23">
      <c r="A203" s="465"/>
      <c r="B203" s="466"/>
      <c r="C203" s="466"/>
      <c r="D203" s="466"/>
      <c r="E203" s="466"/>
      <c r="F203" s="466"/>
      <c r="G203" s="466"/>
      <c r="H203" s="466"/>
      <c r="I203" s="466"/>
      <c r="J203" s="466"/>
      <c r="K203" s="466"/>
      <c r="L203" s="466"/>
      <c r="M203" s="466"/>
      <c r="N203" s="466"/>
      <c r="O203" s="466"/>
      <c r="P203" s="466"/>
      <c r="Q203" s="466"/>
      <c r="R203" s="466"/>
      <c r="S203" s="466"/>
      <c r="T203" s="466"/>
      <c r="U203" s="466"/>
      <c r="V203" s="466"/>
      <c r="W203" s="466"/>
    </row>
    <row r="204" spans="1:23">
      <c r="A204" s="465"/>
      <c r="B204" s="466"/>
      <c r="C204" s="466"/>
      <c r="D204" s="466"/>
      <c r="E204" s="466"/>
      <c r="F204" s="466"/>
      <c r="G204" s="466"/>
      <c r="H204" s="466"/>
      <c r="I204" s="466"/>
      <c r="J204" s="466"/>
      <c r="K204" s="466"/>
      <c r="L204" s="466"/>
      <c r="M204" s="466"/>
      <c r="N204" s="466"/>
      <c r="O204" s="466"/>
      <c r="P204" s="466"/>
      <c r="Q204" s="466"/>
      <c r="R204" s="466"/>
      <c r="S204" s="466"/>
      <c r="T204" s="466"/>
      <c r="U204" s="466"/>
      <c r="V204" s="466"/>
      <c r="W204" s="466"/>
    </row>
    <row r="205" spans="1:23">
      <c r="A205" s="457"/>
      <c r="B205" s="296"/>
      <c r="C205" s="468"/>
      <c r="D205" s="296"/>
      <c r="E205" s="458"/>
      <c r="F205" s="458"/>
      <c r="G205" s="459"/>
      <c r="H205" s="459"/>
      <c r="I205" s="460"/>
      <c r="J205" s="460"/>
      <c r="K205" s="296"/>
      <c r="L205" s="296"/>
      <c r="M205" s="458"/>
      <c r="N205" s="458"/>
      <c r="O205" s="461"/>
      <c r="P205" s="462"/>
      <c r="Q205" s="462"/>
      <c r="R205" s="462"/>
      <c r="S205" s="462"/>
      <c r="T205" s="462"/>
      <c r="U205" s="464"/>
      <c r="V205" s="464"/>
      <c r="W205" s="464"/>
    </row>
    <row r="206" spans="1:23">
      <c r="A206" s="457"/>
      <c r="B206" s="296"/>
      <c r="C206" s="468"/>
      <c r="D206" s="296"/>
      <c r="E206" s="458"/>
      <c r="F206" s="458"/>
      <c r="G206" s="459"/>
      <c r="H206" s="459"/>
      <c r="I206" s="460"/>
      <c r="J206" s="460"/>
      <c r="K206" s="296"/>
      <c r="L206" s="296"/>
      <c r="M206" s="458"/>
      <c r="N206" s="458"/>
      <c r="O206" s="461"/>
      <c r="P206" s="462"/>
      <c r="Q206" s="462"/>
      <c r="R206" s="462"/>
      <c r="S206" s="462"/>
      <c r="T206" s="462"/>
      <c r="U206" s="464"/>
      <c r="V206" s="464"/>
      <c r="W206" s="464"/>
    </row>
    <row r="207" spans="1:23">
      <c r="A207" s="457"/>
      <c r="B207" s="296"/>
      <c r="C207" s="468"/>
      <c r="D207" s="296"/>
      <c r="E207" s="458"/>
      <c r="F207" s="458"/>
      <c r="G207" s="459"/>
      <c r="H207" s="459"/>
      <c r="I207" s="460"/>
      <c r="J207" s="460"/>
      <c r="K207" s="296"/>
      <c r="L207" s="296"/>
      <c r="M207" s="458"/>
      <c r="N207" s="458"/>
      <c r="O207" s="461"/>
      <c r="P207" s="462"/>
      <c r="Q207" s="462"/>
      <c r="R207" s="462"/>
      <c r="S207" s="462"/>
      <c r="T207" s="462"/>
      <c r="U207" s="464"/>
      <c r="V207" s="464"/>
      <c r="W207" s="464"/>
    </row>
    <row r="208" spans="1:23">
      <c r="A208" s="457"/>
      <c r="B208" s="296"/>
      <c r="C208" s="468"/>
      <c r="D208" s="296"/>
      <c r="E208" s="458"/>
      <c r="F208" s="458"/>
      <c r="G208" s="459"/>
      <c r="H208" s="459"/>
      <c r="I208" s="460"/>
      <c r="J208" s="460"/>
      <c r="K208" s="296"/>
      <c r="L208" s="296"/>
      <c r="M208" s="458"/>
      <c r="N208" s="458"/>
      <c r="O208" s="461"/>
      <c r="P208" s="462"/>
      <c r="Q208" s="462"/>
      <c r="R208" s="462"/>
      <c r="S208" s="462"/>
      <c r="T208" s="462"/>
      <c r="U208" s="464"/>
      <c r="V208" s="464"/>
      <c r="W208" s="464"/>
    </row>
    <row r="209" spans="1:23">
      <c r="A209" s="457"/>
      <c r="B209" s="296"/>
      <c r="C209" s="468"/>
      <c r="D209" s="296"/>
      <c r="E209" s="458"/>
      <c r="F209" s="458"/>
      <c r="G209" s="459"/>
      <c r="H209" s="459"/>
      <c r="I209" s="460"/>
      <c r="J209" s="460"/>
      <c r="K209" s="296"/>
      <c r="L209" s="296"/>
      <c r="M209" s="296"/>
      <c r="N209" s="296"/>
      <c r="O209" s="461"/>
      <c r="P209" s="462"/>
      <c r="Q209" s="462"/>
      <c r="R209" s="462"/>
      <c r="S209" s="462"/>
      <c r="T209" s="462"/>
      <c r="U209" s="464"/>
      <c r="V209" s="464"/>
      <c r="W209" s="464"/>
    </row>
    <row r="210" spans="1:23">
      <c r="A210" s="296"/>
    </row>
    <row r="211" spans="1:23">
      <c r="A211" s="296"/>
    </row>
    <row r="247" spans="79:81">
      <c r="CA247" s="235" t="s">
        <v>55</v>
      </c>
      <c r="CB247" s="235" t="s">
        <v>58</v>
      </c>
    </row>
    <row r="248" spans="79:81" ht="293.45" customHeight="1">
      <c r="CA248" s="235" t="s">
        <v>59</v>
      </c>
      <c r="CB248" s="467" t="s">
        <v>83</v>
      </c>
      <c r="CC248" s="235"/>
    </row>
    <row r="249" spans="79:81" ht="293.45" customHeight="1">
      <c r="CA249" s="235" t="s">
        <v>56</v>
      </c>
      <c r="CB249" s="235"/>
    </row>
    <row r="250" spans="79:81" ht="293.45" customHeight="1">
      <c r="CA250" s="235" t="s">
        <v>57</v>
      </c>
      <c r="CB250" s="235"/>
    </row>
    <row r="251" spans="79:81" ht="293.45" customHeight="1">
      <c r="CA251" s="235" t="s">
        <v>52</v>
      </c>
      <c r="CB251" s="235"/>
    </row>
  </sheetData>
  <sheetProtection algorithmName="SHA-512" hashValue="p7kEHwJnALPhqgH8NfAomIb3BDk4tguVWVlGElfjmAiZoe/B/2lQwKxjYNCsFstjwTQN/ENdRu5CRXW1d6V14g==" saltValue="U6Y6cpGhbDAsRp57eey60A==" spinCount="100000" sheet="1" objects="1" scenarios="1"/>
  <mergeCells count="14">
    <mergeCell ref="R121:R122"/>
    <mergeCell ref="A1:M3"/>
    <mergeCell ref="A4:AX4"/>
    <mergeCell ref="B121:B122"/>
    <mergeCell ref="F121:F122"/>
    <mergeCell ref="G121:G122"/>
    <mergeCell ref="H121:H122"/>
    <mergeCell ref="I121:I122"/>
    <mergeCell ref="J121:J122"/>
    <mergeCell ref="K121:K122"/>
    <mergeCell ref="M121:M122"/>
    <mergeCell ref="N121:N122"/>
    <mergeCell ref="O121:O122"/>
    <mergeCell ref="P121:P122"/>
  </mergeCells>
  <phoneticPr fontId="21"/>
  <dataValidations count="1">
    <dataValidation type="list" allowBlank="1" showInputMessage="1" showErrorMessage="1" sqref="B20:B34 B39:B63 B73:B104 B14:B18 C14:C104" xr:uid="{00000000-0002-0000-0300-000000000000}">
      <formula1>inputType</formula1>
    </dataValidation>
  </dataValidations>
  <hyperlinks>
    <hyperlink ref="P5" location="'Table of Contents'!B17" display="Table of Contents" xr:uid="{00000000-0004-0000-0300-000000000000}"/>
  </hyperlinks>
  <pageMargins left="0.7" right="0.7" top="0.75" bottom="0.75" header="0.3" footer="0.3"/>
  <pageSetup orientation="portrait" r:id="rId1"/>
  <drawing r:id="rId2"/>
  <tableParts count="3">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T23"/>
  <sheetViews>
    <sheetView showGridLines="0" showRowColHeaders="0" zoomScaleNormal="100" workbookViewId="0">
      <selection activeCell="R5" sqref="R5:T5"/>
    </sheetView>
  </sheetViews>
  <sheetFormatPr defaultColWidth="9.140625" defaultRowHeight="15"/>
  <cols>
    <col min="1" max="2" width="9.140625" style="322"/>
    <col min="3" max="3" width="7.85546875" style="322" customWidth="1"/>
    <col min="4" max="4" width="6.5703125" style="322" customWidth="1"/>
    <col min="5" max="17" width="9.140625" style="322"/>
    <col min="18" max="18" width="18.85546875" style="322" customWidth="1"/>
    <col min="19" max="16384" width="9.140625" style="322"/>
  </cols>
  <sheetData>
    <row r="1" spans="1:20" ht="12.75" customHeight="1">
      <c r="A1" s="823"/>
      <c r="B1" s="823"/>
      <c r="C1" s="823"/>
      <c r="D1" s="823"/>
      <c r="E1" s="823"/>
      <c r="F1" s="823"/>
      <c r="G1" s="823"/>
      <c r="H1" s="823"/>
      <c r="I1" s="823"/>
      <c r="J1" s="823"/>
      <c r="K1" s="823"/>
      <c r="L1" s="823"/>
      <c r="M1" s="823"/>
      <c r="N1" s="823"/>
      <c r="O1" s="823"/>
      <c r="P1" s="823"/>
      <c r="Q1" s="823"/>
      <c r="R1" s="823"/>
    </row>
    <row r="2" spans="1:20" ht="12.75" customHeight="1">
      <c r="A2" s="823"/>
      <c r="B2" s="823"/>
      <c r="C2" s="823"/>
      <c r="D2" s="823"/>
      <c r="E2" s="823"/>
      <c r="F2" s="823"/>
      <c r="G2" s="823"/>
      <c r="H2" s="823"/>
      <c r="I2" s="823"/>
      <c r="J2" s="823"/>
      <c r="K2" s="823"/>
      <c r="L2" s="823"/>
      <c r="M2" s="823"/>
      <c r="N2" s="823"/>
      <c r="O2" s="823"/>
      <c r="P2" s="823"/>
      <c r="Q2" s="823"/>
      <c r="R2" s="823"/>
    </row>
    <row r="3" spans="1:20" ht="12.75" customHeight="1">
      <c r="A3" s="823"/>
      <c r="B3" s="823"/>
      <c r="C3" s="823"/>
      <c r="D3" s="823"/>
      <c r="E3" s="823"/>
      <c r="F3" s="823"/>
      <c r="G3" s="823"/>
      <c r="H3" s="823"/>
      <c r="I3" s="823"/>
      <c r="J3" s="823"/>
      <c r="K3" s="823"/>
      <c r="L3" s="823"/>
      <c r="M3" s="823"/>
      <c r="N3" s="823"/>
      <c r="O3" s="823"/>
      <c r="P3" s="823"/>
      <c r="Q3" s="823"/>
      <c r="R3" s="823"/>
    </row>
    <row r="4" spans="1:20" ht="12.75" customHeight="1">
      <c r="A4" s="824"/>
      <c r="B4" s="824"/>
      <c r="C4" s="824"/>
      <c r="D4" s="824"/>
      <c r="E4" s="824"/>
      <c r="F4" s="824"/>
      <c r="G4" s="824"/>
      <c r="H4" s="824"/>
      <c r="I4" s="824"/>
      <c r="J4" s="824"/>
      <c r="K4" s="824"/>
      <c r="L4" s="824"/>
      <c r="M4" s="824"/>
      <c r="N4" s="824"/>
      <c r="O4" s="824"/>
      <c r="P4" s="824"/>
      <c r="Q4" s="824"/>
      <c r="R4" s="824"/>
    </row>
    <row r="5" spans="1:20">
      <c r="A5" s="825" t="s">
        <v>209</v>
      </c>
      <c r="B5" s="825"/>
      <c r="C5" s="825"/>
      <c r="D5" s="825"/>
      <c r="E5" s="825"/>
      <c r="F5" s="825"/>
      <c r="G5" s="825"/>
      <c r="H5" s="825"/>
      <c r="I5" s="825"/>
      <c r="J5" s="825"/>
      <c r="K5" s="825"/>
      <c r="L5" s="825"/>
      <c r="M5" s="825"/>
      <c r="N5" s="825"/>
      <c r="O5" s="825"/>
      <c r="P5" s="825"/>
      <c r="Q5" s="323"/>
      <c r="R5" s="532" t="s">
        <v>8</v>
      </c>
      <c r="S5" s="531"/>
      <c r="T5" s="531"/>
    </row>
    <row r="6" spans="1:20" ht="15" customHeight="1">
      <c r="A6" s="324"/>
      <c r="B6" s="324"/>
      <c r="C6" s="324"/>
      <c r="D6" s="324"/>
      <c r="E6" s="324"/>
      <c r="F6" s="324"/>
      <c r="G6" s="324"/>
      <c r="H6" s="324"/>
      <c r="I6" s="324"/>
      <c r="J6" s="324"/>
      <c r="K6" s="324"/>
      <c r="L6" s="324"/>
      <c r="M6" s="324"/>
      <c r="N6" s="324"/>
      <c r="O6" s="324"/>
      <c r="P6" s="324"/>
      <c r="Q6" s="324"/>
      <c r="R6" s="324"/>
      <c r="S6" s="324"/>
    </row>
    <row r="7" spans="1:20" ht="15" customHeight="1">
      <c r="A7" s="324"/>
      <c r="B7" s="324"/>
      <c r="C7" s="324"/>
      <c r="D7" s="324"/>
      <c r="E7" s="324"/>
      <c r="F7" s="324"/>
      <c r="G7" s="324"/>
      <c r="H7" s="324"/>
      <c r="I7" s="324"/>
      <c r="J7" s="324"/>
      <c r="K7" s="324"/>
      <c r="L7" s="324"/>
      <c r="M7" s="324"/>
      <c r="N7" s="324"/>
      <c r="O7" s="324"/>
      <c r="P7" s="324"/>
      <c r="Q7" s="324"/>
      <c r="R7" s="324"/>
      <c r="S7" s="324"/>
    </row>
    <row r="8" spans="1:20" ht="15" customHeight="1">
      <c r="A8" s="325"/>
      <c r="B8" s="325"/>
      <c r="C8" s="325"/>
      <c r="D8" s="325"/>
      <c r="E8" s="325"/>
      <c r="F8" s="325"/>
      <c r="G8" s="325"/>
      <c r="H8" s="325"/>
      <c r="I8" s="325"/>
      <c r="J8" s="325"/>
      <c r="K8" s="325"/>
      <c r="L8" s="325"/>
      <c r="M8" s="325"/>
      <c r="N8" s="325"/>
      <c r="O8" s="325"/>
      <c r="P8" s="325"/>
      <c r="Q8" s="325"/>
      <c r="R8" s="325"/>
      <c r="S8" s="324"/>
    </row>
    <row r="9" spans="1:20" ht="15" customHeight="1">
      <c r="A9" s="324"/>
      <c r="B9" s="324"/>
      <c r="C9" s="324"/>
      <c r="D9" s="324"/>
      <c r="E9" s="324"/>
      <c r="F9" s="324"/>
      <c r="G9" s="324"/>
      <c r="H9" s="324"/>
      <c r="I9" s="324"/>
      <c r="J9" s="324"/>
      <c r="K9" s="324"/>
      <c r="L9" s="324"/>
      <c r="M9" s="324"/>
      <c r="N9" s="324"/>
      <c r="O9" s="324"/>
      <c r="P9" s="324"/>
      <c r="Q9" s="324"/>
      <c r="R9" s="324"/>
      <c r="S9" s="324"/>
    </row>
    <row r="10" spans="1:20" ht="15" customHeight="1">
      <c r="A10" s="324"/>
      <c r="B10" s="324"/>
      <c r="C10" s="324"/>
      <c r="D10" s="324"/>
      <c r="E10" s="324"/>
      <c r="F10" s="324"/>
      <c r="G10" s="324"/>
      <c r="H10" s="324"/>
      <c r="I10" s="324"/>
      <c r="J10" s="324"/>
      <c r="K10" s="324"/>
      <c r="L10" s="324"/>
      <c r="M10" s="324"/>
      <c r="N10" s="324"/>
      <c r="O10" s="324"/>
      <c r="P10" s="324"/>
      <c r="Q10" s="324"/>
      <c r="R10" s="324"/>
      <c r="S10" s="324"/>
    </row>
    <row r="11" spans="1:20" ht="15" customHeight="1">
      <c r="A11" s="324"/>
      <c r="B11" s="324"/>
      <c r="C11" s="324"/>
      <c r="D11" s="324"/>
      <c r="E11" s="324"/>
      <c r="F11" s="324"/>
      <c r="G11" s="324"/>
      <c r="H11" s="324"/>
      <c r="I11" s="324"/>
      <c r="J11" s="324"/>
      <c r="K11" s="324"/>
      <c r="L11" s="324"/>
      <c r="M11" s="324"/>
      <c r="N11" s="324"/>
      <c r="O11" s="324"/>
      <c r="P11" s="324"/>
      <c r="Q11" s="324"/>
      <c r="R11" s="324"/>
      <c r="S11" s="324"/>
    </row>
    <row r="12" spans="1:20" ht="15" customHeight="1">
      <c r="A12" s="324"/>
      <c r="B12" s="324"/>
      <c r="C12" s="324"/>
      <c r="D12" s="324"/>
      <c r="E12" s="324"/>
      <c r="F12" s="324"/>
      <c r="G12" s="324"/>
      <c r="H12" s="324"/>
      <c r="I12" s="324"/>
      <c r="J12" s="324"/>
      <c r="K12" s="324"/>
      <c r="L12" s="324"/>
      <c r="M12" s="324"/>
      <c r="N12" s="324"/>
      <c r="O12" s="324"/>
      <c r="P12" s="324"/>
      <c r="Q12" s="324"/>
      <c r="R12" s="324"/>
      <c r="S12" s="324"/>
    </row>
    <row r="13" spans="1:20" ht="15" customHeight="1">
      <c r="A13" s="324"/>
      <c r="B13" s="324"/>
      <c r="C13" s="324"/>
      <c r="D13" s="324"/>
      <c r="E13" s="324"/>
      <c r="F13" s="324"/>
      <c r="G13" s="324"/>
      <c r="H13" s="324"/>
      <c r="I13" s="324"/>
      <c r="J13" s="324"/>
      <c r="K13" s="324"/>
      <c r="L13" s="324"/>
      <c r="M13" s="324"/>
      <c r="N13" s="324"/>
      <c r="O13" s="324"/>
      <c r="P13" s="324"/>
      <c r="Q13" s="324"/>
      <c r="R13" s="324"/>
      <c r="S13" s="324"/>
    </row>
    <row r="14" spans="1:20" ht="15" customHeight="1">
      <c r="A14" s="324"/>
      <c r="B14" s="324"/>
      <c r="C14" s="324"/>
      <c r="D14" s="324"/>
      <c r="E14" s="324"/>
      <c r="F14" s="324"/>
      <c r="G14" s="324"/>
      <c r="H14" s="324"/>
      <c r="I14" s="324"/>
      <c r="J14" s="324"/>
      <c r="K14" s="324"/>
      <c r="L14" s="324"/>
      <c r="M14" s="324"/>
      <c r="N14" s="324"/>
      <c r="O14" s="324"/>
      <c r="P14" s="324"/>
      <c r="Q14" s="324"/>
      <c r="R14" s="324"/>
      <c r="S14" s="324"/>
    </row>
    <row r="15" spans="1:20" ht="15" customHeight="1">
      <c r="A15" s="324"/>
      <c r="B15" s="324"/>
      <c r="C15" s="324"/>
      <c r="D15" s="324"/>
      <c r="E15" s="324"/>
      <c r="F15" s="324"/>
      <c r="G15" s="324"/>
      <c r="H15" s="324"/>
      <c r="I15" s="324"/>
      <c r="J15" s="324"/>
      <c r="K15" s="324"/>
      <c r="L15" s="324"/>
      <c r="M15" s="324"/>
      <c r="N15" s="324"/>
      <c r="O15" s="324"/>
      <c r="P15" s="324"/>
      <c r="Q15" s="324"/>
      <c r="R15" s="324"/>
      <c r="S15" s="324"/>
    </row>
    <row r="16" spans="1:20" ht="15" customHeight="1">
      <c r="A16" s="324"/>
      <c r="B16" s="324"/>
      <c r="C16" s="324"/>
      <c r="D16" s="324"/>
      <c r="E16" s="324"/>
      <c r="F16" s="324"/>
      <c r="G16" s="324"/>
      <c r="H16" s="324"/>
      <c r="I16" s="324"/>
      <c r="J16" s="324"/>
      <c r="K16" s="324"/>
      <c r="L16" s="324"/>
      <c r="M16" s="324"/>
      <c r="N16" s="324"/>
      <c r="O16" s="324"/>
      <c r="P16" s="324"/>
      <c r="Q16" s="324"/>
      <c r="R16" s="324"/>
      <c r="S16" s="324"/>
    </row>
    <row r="17" spans="1:19" ht="15" customHeight="1">
      <c r="A17" s="324"/>
      <c r="B17" s="324"/>
      <c r="C17" s="324"/>
      <c r="D17" s="324"/>
      <c r="E17" s="324"/>
      <c r="F17" s="324"/>
      <c r="G17" s="324"/>
      <c r="H17" s="324"/>
      <c r="I17" s="324"/>
      <c r="J17" s="324"/>
      <c r="K17" s="324"/>
      <c r="L17" s="324"/>
      <c r="M17" s="324"/>
      <c r="N17" s="324"/>
      <c r="O17" s="324"/>
      <c r="P17" s="324"/>
      <c r="Q17" s="324"/>
      <c r="R17" s="324"/>
      <c r="S17" s="324"/>
    </row>
    <row r="18" spans="1:19" ht="15" customHeight="1">
      <c r="A18" s="324"/>
      <c r="B18" s="324"/>
      <c r="C18" s="324"/>
      <c r="D18" s="324"/>
      <c r="E18" s="324"/>
      <c r="F18" s="324"/>
      <c r="G18" s="324"/>
      <c r="H18" s="324"/>
      <c r="I18" s="324"/>
      <c r="J18" s="324"/>
      <c r="K18" s="324"/>
      <c r="L18" s="324"/>
      <c r="M18" s="324"/>
      <c r="N18" s="324"/>
      <c r="O18" s="324"/>
      <c r="P18" s="324"/>
      <c r="Q18" s="324"/>
      <c r="R18" s="324"/>
      <c r="S18" s="324"/>
    </row>
    <row r="19" spans="1:19" ht="15" customHeight="1">
      <c r="A19" s="324"/>
      <c r="B19" s="324"/>
      <c r="C19" s="324"/>
      <c r="D19" s="324"/>
      <c r="E19" s="324"/>
      <c r="F19" s="324"/>
      <c r="G19" s="324"/>
      <c r="H19" s="324"/>
      <c r="I19" s="324"/>
      <c r="J19" s="324"/>
      <c r="K19" s="324"/>
      <c r="L19" s="324"/>
      <c r="M19" s="324"/>
      <c r="N19" s="324"/>
      <c r="O19" s="324"/>
      <c r="P19" s="324"/>
      <c r="Q19" s="324"/>
      <c r="R19" s="324"/>
      <c r="S19" s="324"/>
    </row>
    <row r="20" spans="1:19">
      <c r="A20" s="324"/>
      <c r="B20" s="324"/>
      <c r="C20" s="324"/>
      <c r="D20" s="324"/>
      <c r="E20" s="324"/>
      <c r="F20" s="324"/>
      <c r="G20" s="324"/>
      <c r="H20" s="326"/>
      <c r="I20" s="326"/>
      <c r="J20" s="326"/>
      <c r="K20" s="326"/>
      <c r="L20" s="326"/>
      <c r="M20" s="326"/>
      <c r="N20" s="326"/>
      <c r="O20" s="326"/>
      <c r="P20" s="326"/>
      <c r="Q20" s="326"/>
      <c r="R20" s="326"/>
      <c r="S20" s="326"/>
    </row>
    <row r="21" spans="1:19">
      <c r="A21" s="324"/>
      <c r="B21" s="324"/>
      <c r="C21" s="324"/>
      <c r="D21" s="324"/>
      <c r="E21" s="324"/>
      <c r="F21" s="324"/>
      <c r="G21" s="324"/>
      <c r="H21" s="326"/>
      <c r="I21" s="326"/>
      <c r="J21" s="326"/>
      <c r="K21" s="326"/>
      <c r="L21" s="326"/>
      <c r="M21" s="326"/>
      <c r="N21" s="326"/>
      <c r="O21" s="326"/>
      <c r="P21" s="326"/>
      <c r="Q21" s="326"/>
      <c r="R21" s="326"/>
      <c r="S21" s="326"/>
    </row>
    <row r="22" spans="1:19">
      <c r="A22" s="324"/>
      <c r="B22" s="324"/>
      <c r="C22" s="324"/>
      <c r="D22" s="324"/>
      <c r="E22" s="324"/>
      <c r="F22" s="324"/>
      <c r="G22" s="324"/>
      <c r="H22" s="326"/>
      <c r="I22" s="326"/>
      <c r="J22" s="326"/>
      <c r="K22" s="326"/>
      <c r="L22" s="326"/>
      <c r="M22" s="326"/>
      <c r="N22" s="326"/>
      <c r="O22" s="326"/>
      <c r="P22" s="326"/>
      <c r="Q22" s="326"/>
      <c r="R22" s="326"/>
      <c r="S22" s="326"/>
    </row>
    <row r="23" spans="1:19">
      <c r="A23" s="326"/>
      <c r="B23" s="326"/>
      <c r="C23" s="326"/>
      <c r="D23" s="326"/>
      <c r="E23" s="326"/>
      <c r="F23" s="326"/>
      <c r="G23" s="326"/>
      <c r="H23" s="326"/>
      <c r="I23" s="326"/>
      <c r="J23" s="326"/>
      <c r="K23" s="326"/>
      <c r="L23" s="326"/>
      <c r="M23" s="326"/>
      <c r="N23" s="326"/>
      <c r="O23" s="326"/>
      <c r="P23" s="326"/>
      <c r="Q23" s="326"/>
      <c r="R23" s="326"/>
      <c r="S23" s="326"/>
    </row>
  </sheetData>
  <sheetProtection algorithmName="SHA-512" hashValue="J4POk1z8pYdy5c4NgnYuEfY+W5VENpeGmxbUbr2Jum+lfag9VzYWjxnf3PcJ+l70/zYC8UQLX3NbB2brVlpDdQ==" saltValue="q3QxKNRac+6M7tlwliScKg==" spinCount="100000" sheet="1" objects="1" scenarios="1"/>
  <mergeCells count="4">
    <mergeCell ref="A1:R3"/>
    <mergeCell ref="A4:R4"/>
    <mergeCell ref="A5:P5"/>
    <mergeCell ref="R5:T5"/>
  </mergeCells>
  <hyperlinks>
    <hyperlink ref="A5:O5" r:id="rId1" display="For any futher assistance on this tool, please post your question in the following forum Room - E2E Precision Data Converters Forum" xr:uid="{00000000-0004-0000-0400-000000000000}"/>
    <hyperlink ref="R5" location="'Table of Contents'!B17" display="Table of Contents" xr:uid="{00000000-0004-0000-0400-000001000000}"/>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Table of Contents</vt:lpstr>
      <vt:lpstr>Help</vt:lpstr>
      <vt:lpstr>Directions</vt:lpstr>
      <vt:lpstr>Voltage Sensing Calculator</vt:lpstr>
      <vt:lpstr>Device Comparison</vt:lpstr>
      <vt:lpstr>License</vt:lpstr>
      <vt:lpstr>Configs</vt:lpstr>
      <vt:lpstr>Device_List</vt:lpstr>
      <vt:lpstr>Device_List_D</vt:lpstr>
      <vt:lpstr>Device_List_SE</vt:lpstr>
      <vt:lpstr>inputType</vt:lpstr>
      <vt:lpstr>InputTypeColumn</vt:lpstr>
      <vt:lpstr>selectConfig</vt:lpstr>
      <vt:lpstr>single</vt:lpstr>
      <vt:lpstr>withoutR3</vt:lpstr>
      <vt:lpstr>withR3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2025-09-02T21:28:22Z</dcterms:modified>
</cp:coreProperties>
</file>