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omments2.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omments3.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24226"/>
  <mc:AlternateContent xmlns:mc="http://schemas.openxmlformats.org/markup-compatibility/2006">
    <mc:Choice Requires="x15">
      <x15ac:absPath xmlns:x15ac="http://schemas.microsoft.com/office/spreadsheetml/2010/11/ac" url="C:\Users\a0499631\TI Drive\device\1-LM5171\Calc\"/>
    </mc:Choice>
  </mc:AlternateContent>
  <xr:revisionPtr revIDLastSave="0" documentId="13_ncr:1_{BDB6A36D-B9D9-4E1A-9361-403DDA952C15}" xr6:coauthVersionLast="36" xr6:coauthVersionMax="36" xr10:uidLastSave="{00000000-0000-0000-0000-000000000000}"/>
  <workbookProtection workbookAlgorithmName="SHA-512" workbookHashValue="NgHzqkVEC4QW8JcatEAX5pTz5QnKwgv0SvbqBncuQ9Eq0CSWj572K3kvdow0Pw/3XEdk7ZMGs0rHVcIo4hx4pA==" workbookSaltValue="pSZMsykzLDnoudmW4hr8Kg==" workbookSpinCount="100000" lockStructure="1"/>
  <bookViews>
    <workbookView xWindow="360" yWindow="630" windowWidth="11115" windowHeight="4605" xr2:uid="{00000000-000D-0000-FFFF-FFFF00000000}"/>
  </bookViews>
  <sheets>
    <sheet name="Design_Converter" sheetId="1" r:id="rId1"/>
    <sheet name="Calculations" sheetId="2" state="hidden" r:id="rId2"/>
    <sheet name="Compensation" sheetId="6" state="hidden" r:id="rId3"/>
    <sheet name="Constants" sheetId="4" state="hidden" r:id="rId4"/>
    <sheet name="Lists" sheetId="7" state="hidden" r:id="rId5"/>
    <sheet name="Licenses" sheetId="8" r:id="rId6"/>
  </sheets>
  <definedNames>
    <definedName name="_xlnm._FilterDatabase" localSheetId="3" hidden="1">Constants!$A$1:$E$33</definedName>
    <definedName name="Acs">Constants!$C$5</definedName>
    <definedName name="fco">Calculations!$B$173</definedName>
    <definedName name="Fsw">Calculations!$B$15</definedName>
    <definedName name="gm">Constants!$C$4</definedName>
    <definedName name="I_Channel">Calculations!$B$32</definedName>
    <definedName name="I_Channel_Design">Calculations!$B$25</definedName>
    <definedName name="I_Channel_Peak_No_Ilimit">Calculations!$B$75</definedName>
    <definedName name="I_Channel_Peak_Select">Calculations!$B$77</definedName>
    <definedName name="IL_Comp_Ccomp">Calculations!$B$179*(10^(-9))</definedName>
    <definedName name="IL_Comp_Chf">Calculations!$B$181*(10^-9)</definedName>
    <definedName name="IL_Comp_Rcomp">Calculations!$B$177*1000</definedName>
    <definedName name="ISETA_Max">Constants!$C$46</definedName>
    <definedName name="Kff">Constants!$C$8</definedName>
    <definedName name="Lm">Calculations!$B$43*(10^-6)</definedName>
    <definedName name="Lm_DCR">Design_Converter!$B$39/(1000)</definedName>
    <definedName name="np">Calculations!$B$24</definedName>
    <definedName name="Rcs">Calculations!$B$31/1000</definedName>
    <definedName name="Rs">Calculations!$B$168/1000</definedName>
    <definedName name="V12_Max">Calculations!$B$13</definedName>
    <definedName name="V12_Min">Calculations!$B$11</definedName>
    <definedName name="V12_Nom">Calculations!$B$12</definedName>
    <definedName name="V48_Max">Calculations!$B$9</definedName>
    <definedName name="V48_Min">Calculations!$B$7</definedName>
    <definedName name="V48_Nom">Calculations!$B$8</definedName>
    <definedName name="VCS_Max">50*(10^-3)</definedName>
    <definedName name="Zo_Boost_Cout">Design_Converter!$B$62*(10^(-6))</definedName>
    <definedName name="Zo_Boost_Resr">Design_Converter!$B$63/1000</definedName>
    <definedName name="Zo_Buck_Cout">Design_Converter!$B$59/(10^6)</definedName>
    <definedName name="Zo_Buck_Resr">Design_Converter!$B$60/1000</definedName>
  </definedNames>
  <calcPr calcId="191029"/>
</workbook>
</file>

<file path=xl/calcChain.xml><?xml version="1.0" encoding="utf-8"?>
<calcChain xmlns="http://schemas.openxmlformats.org/spreadsheetml/2006/main">
  <c r="B161" i="2" l="1"/>
  <c r="B160" i="2"/>
  <c r="B162" i="2" s="1"/>
  <c r="B140" i="1" s="1"/>
  <c r="B62" i="6" l="1"/>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A38" i="6"/>
  <c r="A39" i="6"/>
  <c r="A48" i="6" s="1"/>
  <c r="A57" i="6" s="1"/>
  <c r="A40" i="6"/>
  <c r="A41" i="6"/>
  <c r="A42" i="6"/>
  <c r="A43" i="6"/>
  <c r="A52" i="6" s="1"/>
  <c r="A61" i="6" s="1"/>
  <c r="A44" i="6"/>
  <c r="A45" i="6"/>
  <c r="A46" i="6"/>
  <c r="A47" i="6"/>
  <c r="A56" i="6" s="1"/>
  <c r="A49" i="6"/>
  <c r="A50" i="6"/>
  <c r="A51" i="6"/>
  <c r="A60" i="6" s="1"/>
  <c r="A53" i="6"/>
  <c r="A54" i="6"/>
  <c r="A55" i="6"/>
  <c r="A58" i="6"/>
  <c r="A59" i="6"/>
  <c r="A62" i="6"/>
  <c r="A27" i="6"/>
  <c r="A36" i="6" s="1"/>
  <c r="A28" i="6"/>
  <c r="A29" i="6"/>
  <c r="A30" i="6"/>
  <c r="A31" i="6"/>
  <c r="A32" i="6"/>
  <c r="A33" i="6"/>
  <c r="A34" i="6"/>
  <c r="A35" i="6"/>
  <c r="A37" i="6"/>
  <c r="A18" i="6"/>
  <c r="A19" i="6"/>
  <c r="A20" i="6"/>
  <c r="A21" i="6"/>
  <c r="A22" i="6"/>
  <c r="A23" i="6"/>
  <c r="A24" i="6"/>
  <c r="A25" i="6"/>
  <c r="A26" i="6"/>
  <c r="A17" i="6"/>
  <c r="A16" i="6"/>
  <c r="A15" i="6"/>
  <c r="A14" i="6"/>
  <c r="A13" i="6"/>
  <c r="A9" i="6"/>
  <c r="A12" i="6"/>
  <c r="A11" i="6"/>
  <c r="A10" i="6"/>
  <c r="B218" i="2" l="1"/>
  <c r="B132" i="2" l="1"/>
  <c r="B130" i="2"/>
  <c r="B133" i="2" l="1"/>
  <c r="B108" i="1" s="1"/>
  <c r="B134" i="2"/>
  <c r="B131" i="2"/>
  <c r="B106" i="1" s="1"/>
  <c r="B135" i="2" l="1"/>
  <c r="B110" i="1" s="1"/>
  <c r="B88" i="2"/>
  <c r="B100" i="2"/>
  <c r="B97" i="2"/>
  <c r="B95" i="2"/>
  <c r="B92" i="2"/>
  <c r="B94" i="2" s="1"/>
  <c r="B71" i="1" s="1"/>
  <c r="B91" i="2"/>
  <c r="B98" i="2" l="1"/>
  <c r="B96" i="2"/>
  <c r="B73" i="1" s="1"/>
  <c r="B99" i="2"/>
  <c r="B76" i="1" s="1"/>
  <c r="B101" i="2"/>
  <c r="B78" i="1" s="1"/>
  <c r="B107" i="2"/>
  <c r="B104" i="2"/>
  <c r="B190" i="2" l="1"/>
  <c r="B234" i="2"/>
  <c r="B75" i="1"/>
  <c r="B84" i="2"/>
  <c r="B82" i="2"/>
  <c r="B85" i="2" l="1"/>
  <c r="B53" i="1" s="1"/>
  <c r="B5" i="8"/>
  <c r="C33" i="4"/>
  <c r="C32" i="4"/>
  <c r="C31" i="4"/>
  <c r="C30" i="4"/>
  <c r="C29" i="4"/>
  <c r="C27" i="4"/>
  <c r="C26" i="4"/>
  <c r="C17" i="4"/>
  <c r="C15" i="4"/>
  <c r="C13" i="4"/>
  <c r="C7" i="4"/>
  <c r="C4" i="4"/>
  <c r="C3" i="4"/>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C173" i="6"/>
  <c r="C172" i="6"/>
  <c r="C171" i="6"/>
  <c r="C170" i="6"/>
  <c r="C169"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C8" i="6"/>
  <c r="B269" i="2"/>
  <c r="B267" i="2"/>
  <c r="B265" i="2"/>
  <c r="B258" i="2"/>
  <c r="B252" i="2"/>
  <c r="B250" i="2"/>
  <c r="B248" i="2"/>
  <c r="B242" i="2"/>
  <c r="B224" i="6" s="1"/>
  <c r="C224" i="6" s="1"/>
  <c r="B237" i="2"/>
  <c r="B235" i="2"/>
  <c r="B229" i="2"/>
  <c r="B227" i="2"/>
  <c r="B225" i="2"/>
  <c r="B216" i="2"/>
  <c r="B208" i="2"/>
  <c r="B206" i="2"/>
  <c r="B204" i="2"/>
  <c r="B198" i="2"/>
  <c r="B196" i="2"/>
  <c r="B193" i="2"/>
  <c r="B191" i="2"/>
  <c r="B181" i="2"/>
  <c r="B179" i="2"/>
  <c r="B177" i="2"/>
  <c r="B173" i="2"/>
  <c r="B168" i="2"/>
  <c r="B154" i="2"/>
  <c r="B152" i="2"/>
  <c r="B153" i="2" s="1"/>
  <c r="B131" i="1" s="1"/>
  <c r="B151" i="2"/>
  <c r="B145" i="2"/>
  <c r="B141" i="2"/>
  <c r="B139" i="2"/>
  <c r="B123" i="2"/>
  <c r="B121" i="2"/>
  <c r="B120" i="2"/>
  <c r="B119" i="2"/>
  <c r="B117" i="2"/>
  <c r="B116" i="2"/>
  <c r="B115" i="2"/>
  <c r="B78" i="2"/>
  <c r="B213" i="2" s="1"/>
  <c r="B76" i="2"/>
  <c r="B44" i="2"/>
  <c r="B43" i="2"/>
  <c r="B39" i="2"/>
  <c r="B31" i="2"/>
  <c r="B26" i="2"/>
  <c r="B27" i="2" s="1"/>
  <c r="B24" i="2"/>
  <c r="B164" i="2" s="1"/>
  <c r="B22" i="2"/>
  <c r="B15" i="2"/>
  <c r="D15" i="2" s="1"/>
  <c r="B13" i="2"/>
  <c r="D13" i="2" s="1"/>
  <c r="B12" i="2"/>
  <c r="D12" i="2" s="1"/>
  <c r="B11" i="2"/>
  <c r="D11" i="2" s="1"/>
  <c r="B9" i="2"/>
  <c r="D9" i="2" s="1"/>
  <c r="B8" i="2"/>
  <c r="D8" i="2" s="1"/>
  <c r="B7" i="2"/>
  <c r="B165" i="2" l="1"/>
  <c r="B143" i="1" s="1"/>
  <c r="B142" i="1"/>
  <c r="B214" i="2"/>
  <c r="B215" i="2" s="1"/>
  <c r="B140" i="2"/>
  <c r="B117" i="1" s="1"/>
  <c r="D139" i="2"/>
  <c r="O61" i="2"/>
  <c r="D7" i="2"/>
  <c r="B228" i="2"/>
  <c r="B180" i="1" s="1"/>
  <c r="D8" i="6"/>
  <c r="B178" i="2"/>
  <c r="B153" i="1" s="1"/>
  <c r="B134" i="6"/>
  <c r="C134" i="6" s="1"/>
  <c r="U134" i="6" s="1"/>
  <c r="B170" i="2"/>
  <c r="O53" i="2"/>
  <c r="T53" i="2" s="1"/>
  <c r="V53" i="2" s="1"/>
  <c r="W53" i="2" s="1"/>
  <c r="B86" i="2"/>
  <c r="B54" i="1" s="1"/>
  <c r="B79" i="2"/>
  <c r="B83" i="2" s="1"/>
  <c r="B51" i="1" s="1"/>
  <c r="B231" i="2"/>
  <c r="B136" i="6" s="1"/>
  <c r="C136" i="6" s="1"/>
  <c r="O136" i="6" s="1"/>
  <c r="B127" i="2"/>
  <c r="B100" i="1" s="1"/>
  <c r="B230" i="2"/>
  <c r="B135" i="6" s="1"/>
  <c r="C135" i="6" s="1"/>
  <c r="O6" i="2"/>
  <c r="AC6" i="2" s="1"/>
  <c r="B180" i="2"/>
  <c r="B155" i="1" s="1"/>
  <c r="O7" i="2"/>
  <c r="P7" i="2" s="1"/>
  <c r="B118" i="2"/>
  <c r="B91" i="1" s="1"/>
  <c r="O13" i="2"/>
  <c r="AC13" i="2" s="1"/>
  <c r="O43" i="2"/>
  <c r="T43" i="2" s="1"/>
  <c r="V43" i="2" s="1"/>
  <c r="W43" i="2" s="1"/>
  <c r="O17" i="2"/>
  <c r="T17" i="2" s="1"/>
  <c r="V17" i="2" s="1"/>
  <c r="W17" i="2" s="1"/>
  <c r="O8" i="2"/>
  <c r="Y8" i="2" s="1"/>
  <c r="O20" i="2"/>
  <c r="AK20" i="2" s="1"/>
  <c r="O76" i="2"/>
  <c r="O9" i="2"/>
  <c r="AB9" i="2" s="1"/>
  <c r="AD9" i="2" s="1"/>
  <c r="O14" i="2"/>
  <c r="T14" i="2" s="1"/>
  <c r="O21" i="2"/>
  <c r="AK21" i="2" s="1"/>
  <c r="O26" i="2"/>
  <c r="U26" i="2" s="1"/>
  <c r="O10" i="2"/>
  <c r="T10" i="2" s="1"/>
  <c r="V10" i="2" s="1"/>
  <c r="B25" i="2"/>
  <c r="O27" i="2"/>
  <c r="AJ27" i="2" s="1"/>
  <c r="AL27" i="2" s="1"/>
  <c r="AM27" i="2" s="1"/>
  <c r="O55" i="2"/>
  <c r="P55" i="2" s="1"/>
  <c r="B18" i="2"/>
  <c r="D18" i="2" s="1"/>
  <c r="O15" i="2"/>
  <c r="Q15" i="2" s="1"/>
  <c r="O22" i="2"/>
  <c r="T22" i="2" s="1"/>
  <c r="V22" i="2" s="1"/>
  <c r="W22" i="2" s="1"/>
  <c r="O29" i="2"/>
  <c r="AG29" i="2" s="1"/>
  <c r="O11" i="2"/>
  <c r="Y11" i="2" s="1"/>
  <c r="O16" i="2"/>
  <c r="AK16" i="2" s="1"/>
  <c r="O23" i="2"/>
  <c r="U23" i="2" s="1"/>
  <c r="O30" i="2"/>
  <c r="AJ30" i="2" s="1"/>
  <c r="AL30" i="2" s="1"/>
  <c r="AM30" i="2" s="1"/>
  <c r="O12" i="2"/>
  <c r="U12" i="2" s="1"/>
  <c r="O18" i="2"/>
  <c r="Y18" i="2" s="1"/>
  <c r="O24" i="2"/>
  <c r="Y24" i="2" s="1"/>
  <c r="O19" i="2"/>
  <c r="Q19" i="2" s="1"/>
  <c r="O25" i="2"/>
  <c r="Y25" i="2" s="1"/>
  <c r="B182" i="2"/>
  <c r="AB10" i="6" s="1"/>
  <c r="AC10" i="6" s="1"/>
  <c r="AD10" i="6" s="1"/>
  <c r="AE10" i="6" s="1"/>
  <c r="D152" i="2"/>
  <c r="B183" i="2"/>
  <c r="AB11" i="6" s="1"/>
  <c r="AC11" i="6" s="1"/>
  <c r="AD11" i="6" s="1"/>
  <c r="AE11" i="6" s="1"/>
  <c r="AD66" i="2"/>
  <c r="U101" i="6"/>
  <c r="W101" i="6" s="1"/>
  <c r="B52" i="2"/>
  <c r="B53" i="2" s="1"/>
  <c r="O102" i="2"/>
  <c r="B125" i="2"/>
  <c r="B98" i="1" s="1"/>
  <c r="O33" i="2"/>
  <c r="Y33" i="2" s="1"/>
  <c r="B209" i="2"/>
  <c r="O89" i="6"/>
  <c r="P89" i="6" s="1"/>
  <c r="B51" i="2"/>
  <c r="M226" i="6"/>
  <c r="M221" i="6"/>
  <c r="M213" i="6"/>
  <c r="M205" i="6"/>
  <c r="M220" i="6"/>
  <c r="M212" i="6"/>
  <c r="M204" i="6"/>
  <c r="M225" i="6"/>
  <c r="M219" i="6"/>
  <c r="M211" i="6"/>
  <c r="M203" i="6"/>
  <c r="M218" i="6"/>
  <c r="M210" i="6"/>
  <c r="M202" i="6"/>
  <c r="M228" i="6"/>
  <c r="M224" i="6"/>
  <c r="M217" i="6"/>
  <c r="M209" i="6"/>
  <c r="M216" i="6"/>
  <c r="M208" i="6"/>
  <c r="M227" i="6"/>
  <c r="M223" i="6"/>
  <c r="M215" i="6"/>
  <c r="M207" i="6"/>
  <c r="M201" i="6"/>
  <c r="M200" i="6"/>
  <c r="M192" i="6"/>
  <c r="M184" i="6"/>
  <c r="M199" i="6"/>
  <c r="M191" i="6"/>
  <c r="M183" i="6"/>
  <c r="M198" i="6"/>
  <c r="M190" i="6"/>
  <c r="M182" i="6"/>
  <c r="M197" i="6"/>
  <c r="M189" i="6"/>
  <c r="M181" i="6"/>
  <c r="M194" i="6"/>
  <c r="M186" i="6"/>
  <c r="M172" i="6"/>
  <c r="M171" i="6"/>
  <c r="M170" i="6"/>
  <c r="M222" i="6"/>
  <c r="M214" i="6"/>
  <c r="M206" i="6"/>
  <c r="M193" i="6"/>
  <c r="M185" i="6"/>
  <c r="M177" i="6"/>
  <c r="M169" i="6"/>
  <c r="M196" i="6"/>
  <c r="M188" i="6"/>
  <c r="M180" i="6"/>
  <c r="M176" i="6"/>
  <c r="M178" i="6"/>
  <c r="M174" i="6"/>
  <c r="M173" i="6"/>
  <c r="M175" i="6"/>
  <c r="M195" i="6"/>
  <c r="M187" i="6"/>
  <c r="M179" i="6"/>
  <c r="B260" i="2"/>
  <c r="B262" i="2" s="1"/>
  <c r="B266" i="2" s="1"/>
  <c r="B195" i="1" s="1"/>
  <c r="B238" i="2"/>
  <c r="B245" i="2" s="1"/>
  <c r="B259" i="2"/>
  <c r="B49" i="2"/>
  <c r="B50" i="2" s="1"/>
  <c r="B58" i="2"/>
  <c r="B59" i="2" s="1"/>
  <c r="B55" i="2"/>
  <c r="B56" i="2" s="1"/>
  <c r="B61" i="2"/>
  <c r="B62" i="2" s="1"/>
  <c r="AD106" i="2"/>
  <c r="AD102" i="2"/>
  <c r="AD98" i="2"/>
  <c r="AD109" i="2"/>
  <c r="AD105" i="2"/>
  <c r="AD101" i="2"/>
  <c r="AD108" i="2"/>
  <c r="AD104" i="2"/>
  <c r="AD100" i="2"/>
  <c r="AD96" i="2"/>
  <c r="AD99" i="2"/>
  <c r="AD111" i="2"/>
  <c r="AD90" i="2"/>
  <c r="AD74" i="2"/>
  <c r="AD65" i="2"/>
  <c r="AD76" i="2"/>
  <c r="AD68" i="2"/>
  <c r="AD64" i="2"/>
  <c r="B63" i="2"/>
  <c r="AD95" i="2"/>
  <c r="AD94" i="2"/>
  <c r="AD91" i="2"/>
  <c r="AD89" i="2"/>
  <c r="AD85" i="2"/>
  <c r="AD81" i="2"/>
  <c r="AD75" i="2"/>
  <c r="AD103" i="2"/>
  <c r="AD88" i="2"/>
  <c r="AD87" i="2"/>
  <c r="AD86" i="2"/>
  <c r="AD63" i="2"/>
  <c r="AD84" i="2"/>
  <c r="AD83" i="2"/>
  <c r="AD82" i="2"/>
  <c r="AD73" i="2"/>
  <c r="AD92" i="2"/>
  <c r="AD80" i="2"/>
  <c r="AD79" i="2"/>
  <c r="AD72" i="2"/>
  <c r="AD107" i="2"/>
  <c r="AD70" i="2"/>
  <c r="AD77" i="2"/>
  <c r="AD69" i="2"/>
  <c r="B17" i="2"/>
  <c r="D17" i="2" s="1"/>
  <c r="O39" i="2"/>
  <c r="B46" i="2"/>
  <c r="B47" i="2" s="1"/>
  <c r="B48" i="2"/>
  <c r="O52" i="2"/>
  <c r="AD97" i="2"/>
  <c r="D26" i="6"/>
  <c r="M135" i="6"/>
  <c r="M134" i="6"/>
  <c r="M137" i="6"/>
  <c r="M133" i="6"/>
  <c r="M136" i="6"/>
  <c r="M131" i="6"/>
  <c r="M124" i="6"/>
  <c r="M116" i="6"/>
  <c r="M123" i="6"/>
  <c r="M115" i="6"/>
  <c r="M122" i="6"/>
  <c r="M114" i="6"/>
  <c r="M129" i="6"/>
  <c r="M121" i="6"/>
  <c r="M113" i="6"/>
  <c r="M132" i="6"/>
  <c r="M128" i="6"/>
  <c r="M120" i="6"/>
  <c r="M112" i="6"/>
  <c r="M126" i="6"/>
  <c r="M118" i="6"/>
  <c r="M110" i="6"/>
  <c r="M106" i="6"/>
  <c r="M98" i="6"/>
  <c r="M90" i="6"/>
  <c r="M127" i="6"/>
  <c r="M119" i="6"/>
  <c r="M111" i="6"/>
  <c r="M105" i="6"/>
  <c r="M97" i="6"/>
  <c r="M89" i="6"/>
  <c r="M104" i="6"/>
  <c r="M96" i="6"/>
  <c r="M88" i="6"/>
  <c r="M103" i="6"/>
  <c r="M95" i="6"/>
  <c r="M109" i="6"/>
  <c r="M102" i="6"/>
  <c r="M94" i="6"/>
  <c r="M130" i="6"/>
  <c r="M108" i="6"/>
  <c r="M100" i="6"/>
  <c r="M92" i="6"/>
  <c r="M80" i="6"/>
  <c r="M87" i="6"/>
  <c r="M79" i="6"/>
  <c r="M86" i="6"/>
  <c r="M117" i="6"/>
  <c r="M85" i="6"/>
  <c r="M84" i="6"/>
  <c r="M82" i="6"/>
  <c r="M107" i="6"/>
  <c r="M91" i="6"/>
  <c r="O105" i="2"/>
  <c r="O101" i="2"/>
  <c r="M125" i="6"/>
  <c r="O111" i="2"/>
  <c r="M93" i="6"/>
  <c r="M81" i="6"/>
  <c r="O108" i="2"/>
  <c r="O104" i="2"/>
  <c r="O100" i="2"/>
  <c r="O96" i="2"/>
  <c r="M99" i="6"/>
  <c r="O95" i="2"/>
  <c r="O103" i="2"/>
  <c r="O110" i="2"/>
  <c r="O107" i="2"/>
  <c r="O86" i="2"/>
  <c r="O82" i="2"/>
  <c r="O73" i="2"/>
  <c r="O106" i="2"/>
  <c r="O92" i="2"/>
  <c r="O90" i="2"/>
  <c r="O89" i="2"/>
  <c r="O85" i="2"/>
  <c r="O81" i="2"/>
  <c r="O75" i="2"/>
  <c r="B70" i="2"/>
  <c r="O99" i="2"/>
  <c r="O74" i="2"/>
  <c r="B69" i="2"/>
  <c r="O65" i="2"/>
  <c r="O98" i="2"/>
  <c r="O64" i="2"/>
  <c r="O97" i="2"/>
  <c r="O88" i="2"/>
  <c r="O87" i="2"/>
  <c r="O84" i="2"/>
  <c r="O83" i="2"/>
  <c r="O94" i="2"/>
  <c r="O80" i="2"/>
  <c r="O79" i="2"/>
  <c r="O72" i="2"/>
  <c r="O63" i="2"/>
  <c r="O70" i="2"/>
  <c r="M83" i="6"/>
  <c r="O91" i="2"/>
  <c r="O77" i="2"/>
  <c r="O69" i="2"/>
  <c r="O34" i="2"/>
  <c r="O46" i="2"/>
  <c r="O48" i="2"/>
  <c r="O67" i="2"/>
  <c r="O109" i="2"/>
  <c r="M101" i="6"/>
  <c r="D60" i="6"/>
  <c r="D56" i="6"/>
  <c r="D52" i="6"/>
  <c r="D48" i="6"/>
  <c r="D44" i="6"/>
  <c r="D40" i="6"/>
  <c r="D36" i="6"/>
  <c r="G62" i="6"/>
  <c r="G58" i="6"/>
  <c r="G54" i="6"/>
  <c r="G50" i="6"/>
  <c r="G46" i="6"/>
  <c r="G42" i="6"/>
  <c r="G38" i="6"/>
  <c r="G34" i="6"/>
  <c r="D59" i="6"/>
  <c r="D55" i="6"/>
  <c r="D51" i="6"/>
  <c r="D47" i="6"/>
  <c r="D43" i="6"/>
  <c r="D39" i="6"/>
  <c r="D35" i="6"/>
  <c r="G61" i="6"/>
  <c r="G57" i="6"/>
  <c r="G53" i="6"/>
  <c r="G49" i="6"/>
  <c r="G45" i="6"/>
  <c r="G41" i="6"/>
  <c r="G37" i="6"/>
  <c r="D62" i="6"/>
  <c r="D58" i="6"/>
  <c r="D54" i="6"/>
  <c r="D50" i="6"/>
  <c r="D46" i="6"/>
  <c r="D42" i="6"/>
  <c r="D38" i="6"/>
  <c r="D61" i="6"/>
  <c r="D57" i="6"/>
  <c r="D53" i="6"/>
  <c r="D49" i="6"/>
  <c r="D45" i="6"/>
  <c r="D41" i="6"/>
  <c r="D37" i="6"/>
  <c r="G35" i="6"/>
  <c r="G32" i="6"/>
  <c r="G28" i="6"/>
  <c r="G24" i="6"/>
  <c r="G20" i="6"/>
  <c r="G16" i="6"/>
  <c r="G12" i="6"/>
  <c r="D33" i="6"/>
  <c r="D29" i="6"/>
  <c r="D25" i="6"/>
  <c r="D21" i="6"/>
  <c r="D17" i="6"/>
  <c r="D13" i="6"/>
  <c r="D11" i="6"/>
  <c r="G31" i="6"/>
  <c r="G27" i="6"/>
  <c r="G23" i="6"/>
  <c r="G19" i="6"/>
  <c r="G15" i="6"/>
  <c r="G9" i="6"/>
  <c r="G60" i="6"/>
  <c r="G55" i="6"/>
  <c r="G52" i="6"/>
  <c r="G47" i="6"/>
  <c r="G44" i="6"/>
  <c r="G39" i="6"/>
  <c r="G36" i="6"/>
  <c r="D32" i="6"/>
  <c r="D28" i="6"/>
  <c r="D24" i="6"/>
  <c r="D20" i="6"/>
  <c r="D16" i="6"/>
  <c r="D12" i="6"/>
  <c r="G30" i="6"/>
  <c r="G26" i="6"/>
  <c r="G22" i="6"/>
  <c r="G18" i="6"/>
  <c r="G14" i="6"/>
  <c r="G10" i="6"/>
  <c r="G8" i="6"/>
  <c r="G33" i="6"/>
  <c r="G29" i="6"/>
  <c r="G25" i="6"/>
  <c r="G21" i="6"/>
  <c r="G17" i="6"/>
  <c r="G13" i="6"/>
  <c r="G11" i="6"/>
  <c r="B171" i="2"/>
  <c r="G51" i="6"/>
  <c r="G56" i="6"/>
  <c r="G40" i="6"/>
  <c r="D30" i="6"/>
  <c r="D23" i="6"/>
  <c r="D14" i="6"/>
  <c r="D10" i="6"/>
  <c r="D34" i="6"/>
  <c r="D27" i="6"/>
  <c r="D18" i="6"/>
  <c r="O56" i="2"/>
  <c r="G59" i="6"/>
  <c r="D22" i="6"/>
  <c r="O50" i="2"/>
  <c r="O54" i="2"/>
  <c r="D9" i="6"/>
  <c r="O49" i="2"/>
  <c r="O44" i="2"/>
  <c r="G43" i="6"/>
  <c r="D31" i="6"/>
  <c r="D15" i="6"/>
  <c r="G48" i="6"/>
  <c r="D19" i="6"/>
  <c r="O51" i="2"/>
  <c r="O47" i="2"/>
  <c r="O40" i="2"/>
  <c r="AD62" i="2"/>
  <c r="O71" i="2"/>
  <c r="O78" i="2"/>
  <c r="B246" i="2"/>
  <c r="B172" i="2"/>
  <c r="O31" i="2"/>
  <c r="O35" i="2"/>
  <c r="O41" i="2"/>
  <c r="O42" i="2"/>
  <c r="AD67" i="2"/>
  <c r="AD61" i="2"/>
  <c r="N220" i="6"/>
  <c r="N212" i="6"/>
  <c r="N204" i="6"/>
  <c r="N225" i="6"/>
  <c r="N219" i="6"/>
  <c r="N211" i="6"/>
  <c r="N203" i="6"/>
  <c r="N218" i="6"/>
  <c r="N210" i="6"/>
  <c r="N202" i="6"/>
  <c r="N228" i="6"/>
  <c r="N224" i="6"/>
  <c r="N217" i="6"/>
  <c r="N209" i="6"/>
  <c r="N216" i="6"/>
  <c r="N208" i="6"/>
  <c r="N227" i="6"/>
  <c r="N223" i="6"/>
  <c r="N215" i="6"/>
  <c r="N207" i="6"/>
  <c r="N222" i="6"/>
  <c r="N214" i="6"/>
  <c r="N206" i="6"/>
  <c r="N221" i="6"/>
  <c r="N213" i="6"/>
  <c r="N205" i="6"/>
  <c r="N199" i="6"/>
  <c r="N191" i="6"/>
  <c r="N183" i="6"/>
  <c r="N198" i="6"/>
  <c r="N190" i="6"/>
  <c r="N182" i="6"/>
  <c r="N197" i="6"/>
  <c r="N189" i="6"/>
  <c r="N181" i="6"/>
  <c r="N196" i="6"/>
  <c r="N188" i="6"/>
  <c r="N180" i="6"/>
  <c r="N226" i="6"/>
  <c r="N193" i="6"/>
  <c r="N185" i="6"/>
  <c r="N201" i="6"/>
  <c r="N200" i="6"/>
  <c r="N194" i="6"/>
  <c r="N186" i="6"/>
  <c r="N171" i="6"/>
  <c r="N170" i="6"/>
  <c r="N134" i="6"/>
  <c r="N177" i="6"/>
  <c r="N169" i="6"/>
  <c r="N176" i="6"/>
  <c r="N137" i="6"/>
  <c r="N133" i="6"/>
  <c r="N175" i="6"/>
  <c r="N132" i="6"/>
  <c r="N195" i="6"/>
  <c r="N187" i="6"/>
  <c r="N179" i="6"/>
  <c r="N173" i="6"/>
  <c r="N130" i="6"/>
  <c r="N174" i="6"/>
  <c r="N135" i="6"/>
  <c r="N123" i="6"/>
  <c r="N115" i="6"/>
  <c r="N136" i="6"/>
  <c r="N122" i="6"/>
  <c r="N114" i="6"/>
  <c r="N129" i="6"/>
  <c r="N121" i="6"/>
  <c r="N113" i="6"/>
  <c r="N128" i="6"/>
  <c r="N120" i="6"/>
  <c r="N112" i="6"/>
  <c r="N192" i="6"/>
  <c r="N184" i="6"/>
  <c r="N131" i="6"/>
  <c r="N127" i="6"/>
  <c r="N119" i="6"/>
  <c r="N111" i="6"/>
  <c r="N125" i="6"/>
  <c r="N117" i="6"/>
  <c r="N109" i="6"/>
  <c r="N105" i="6"/>
  <c r="N97" i="6"/>
  <c r="N89" i="6"/>
  <c r="N110" i="6"/>
  <c r="N104" i="6"/>
  <c r="N96" i="6"/>
  <c r="N88" i="6"/>
  <c r="N103" i="6"/>
  <c r="N95" i="6"/>
  <c r="N102" i="6"/>
  <c r="N94" i="6"/>
  <c r="N101" i="6"/>
  <c r="N93" i="6"/>
  <c r="N124" i="6"/>
  <c r="N116" i="6"/>
  <c r="N107" i="6"/>
  <c r="N99" i="6"/>
  <c r="N91" i="6"/>
  <c r="N118" i="6"/>
  <c r="N87" i="6"/>
  <c r="N79" i="6"/>
  <c r="N86" i="6"/>
  <c r="N85" i="6"/>
  <c r="N84" i="6"/>
  <c r="N126" i="6"/>
  <c r="N106" i="6"/>
  <c r="N98" i="6"/>
  <c r="N83" i="6"/>
  <c r="N178" i="6"/>
  <c r="N81" i="6"/>
  <c r="N100" i="6"/>
  <c r="N172" i="6"/>
  <c r="N80" i="6"/>
  <c r="N90" i="6"/>
  <c r="N82" i="6"/>
  <c r="N108" i="6"/>
  <c r="N92" i="6"/>
  <c r="B32" i="2"/>
  <c r="B33" i="2" s="1"/>
  <c r="B35" i="2" s="1"/>
  <c r="O36" i="2"/>
  <c r="AD71" i="2"/>
  <c r="AD78" i="2"/>
  <c r="AD110" i="2"/>
  <c r="O28" i="2"/>
  <c r="O32" i="2"/>
  <c r="O37" i="2"/>
  <c r="O45" i="2"/>
  <c r="B57" i="2"/>
  <c r="O66" i="2"/>
  <c r="O68" i="2"/>
  <c r="O93" i="2"/>
  <c r="B192" i="2"/>
  <c r="B172" i="1" s="1"/>
  <c r="B54" i="2"/>
  <c r="B16" i="2"/>
  <c r="B22" i="1" s="1"/>
  <c r="O38" i="2"/>
  <c r="B60" i="2"/>
  <c r="O62" i="2"/>
  <c r="AD93" i="2"/>
  <c r="B176" i="2"/>
  <c r="B151" i="1" s="1"/>
  <c r="B156" i="2"/>
  <c r="B155" i="2"/>
  <c r="B122" i="2"/>
  <c r="B95" i="1" s="1"/>
  <c r="B146" i="2"/>
  <c r="B124" i="1" s="1"/>
  <c r="B144" i="2"/>
  <c r="B121" i="1" s="1"/>
  <c r="B143" i="2"/>
  <c r="B120" i="1" s="1"/>
  <c r="B142" i="2"/>
  <c r="D142" i="2" s="1"/>
  <c r="B271" i="2"/>
  <c r="B270" i="2"/>
  <c r="B202" i="2"/>
  <c r="B219" i="2"/>
  <c r="B236" i="2"/>
  <c r="B189" i="1" s="1"/>
  <c r="B124" i="2"/>
  <c r="B97" i="1" s="1"/>
  <c r="O219" i="6"/>
  <c r="O211" i="6"/>
  <c r="O218" i="6"/>
  <c r="O210" i="6"/>
  <c r="O202" i="6"/>
  <c r="O217" i="6"/>
  <c r="O209" i="6"/>
  <c r="O201" i="6"/>
  <c r="O216" i="6"/>
  <c r="O208" i="6"/>
  <c r="O223" i="6"/>
  <c r="O215" i="6"/>
  <c r="O207" i="6"/>
  <c r="O222" i="6"/>
  <c r="O214" i="6"/>
  <c r="O206" i="6"/>
  <c r="O221" i="6"/>
  <c r="O213" i="6"/>
  <c r="O205" i="6"/>
  <c r="O198" i="6"/>
  <c r="O190" i="6"/>
  <c r="O182" i="6"/>
  <c r="O197" i="6"/>
  <c r="O189" i="6"/>
  <c r="O181" i="6"/>
  <c r="O196" i="6"/>
  <c r="O188" i="6"/>
  <c r="O180" i="6"/>
  <c r="O203" i="6"/>
  <c r="O195" i="6"/>
  <c r="O187" i="6"/>
  <c r="O179" i="6"/>
  <c r="O200" i="6"/>
  <c r="O192" i="6"/>
  <c r="O184" i="6"/>
  <c r="O199" i="6"/>
  <c r="O170" i="6"/>
  <c r="O177" i="6"/>
  <c r="O169" i="6"/>
  <c r="O193" i="6"/>
  <c r="O185" i="6"/>
  <c r="O176" i="6"/>
  <c r="O133" i="6"/>
  <c r="O175" i="6"/>
  <c r="O132" i="6"/>
  <c r="O178" i="6"/>
  <c r="O174" i="6"/>
  <c r="O172" i="6"/>
  <c r="O191" i="6"/>
  <c r="O183" i="6"/>
  <c r="O122" i="6"/>
  <c r="O114" i="6"/>
  <c r="O129" i="6"/>
  <c r="O121" i="6"/>
  <c r="O113" i="6"/>
  <c r="O220" i="6"/>
  <c r="O128" i="6"/>
  <c r="O120" i="6"/>
  <c r="O112" i="6"/>
  <c r="O131" i="6"/>
  <c r="O127" i="6"/>
  <c r="O119" i="6"/>
  <c r="O111" i="6"/>
  <c r="O212" i="6"/>
  <c r="O126" i="6"/>
  <c r="O118" i="6"/>
  <c r="O204" i="6"/>
  <c r="O171" i="6"/>
  <c r="O130" i="6"/>
  <c r="O124" i="6"/>
  <c r="O116" i="6"/>
  <c r="O110" i="6"/>
  <c r="O104" i="6"/>
  <c r="O96" i="6"/>
  <c r="O88" i="6"/>
  <c r="O103" i="6"/>
  <c r="O95" i="6"/>
  <c r="O173" i="6"/>
  <c r="O102" i="6"/>
  <c r="O94" i="6"/>
  <c r="O186" i="6"/>
  <c r="O109" i="6"/>
  <c r="O101" i="6"/>
  <c r="O93" i="6"/>
  <c r="O108" i="6"/>
  <c r="O100" i="6"/>
  <c r="O92" i="6"/>
  <c r="O125" i="6"/>
  <c r="O117" i="6"/>
  <c r="O106" i="6"/>
  <c r="O98" i="6"/>
  <c r="O90" i="6"/>
  <c r="O115" i="6"/>
  <c r="O86" i="6"/>
  <c r="O85" i="6"/>
  <c r="O84" i="6"/>
  <c r="O105" i="6"/>
  <c r="O97" i="6"/>
  <c r="O83" i="6"/>
  <c r="O194" i="6"/>
  <c r="O123" i="6"/>
  <c r="O107" i="6"/>
  <c r="O99" i="6"/>
  <c r="O91" i="6"/>
  <c r="O82" i="6"/>
  <c r="O80" i="6"/>
  <c r="B210" i="2"/>
  <c r="U221" i="6"/>
  <c r="U213" i="6"/>
  <c r="U205" i="6"/>
  <c r="U220" i="6"/>
  <c r="U212" i="6"/>
  <c r="U204" i="6"/>
  <c r="U219" i="6"/>
  <c r="U211" i="6"/>
  <c r="U203" i="6"/>
  <c r="U218" i="6"/>
  <c r="U210" i="6"/>
  <c r="U202" i="6"/>
  <c r="U217" i="6"/>
  <c r="U209" i="6"/>
  <c r="U216" i="6"/>
  <c r="U208" i="6"/>
  <c r="U223" i="6"/>
  <c r="U215" i="6"/>
  <c r="U207" i="6"/>
  <c r="U200" i="6"/>
  <c r="U192" i="6"/>
  <c r="U184" i="6"/>
  <c r="U199" i="6"/>
  <c r="U191" i="6"/>
  <c r="U183" i="6"/>
  <c r="U198" i="6"/>
  <c r="U190" i="6"/>
  <c r="U182" i="6"/>
  <c r="U222" i="6"/>
  <c r="U214" i="6"/>
  <c r="U206" i="6"/>
  <c r="U201" i="6"/>
  <c r="U197" i="6"/>
  <c r="U189" i="6"/>
  <c r="U181" i="6"/>
  <c r="U194" i="6"/>
  <c r="U186" i="6"/>
  <c r="U193" i="6"/>
  <c r="U185" i="6"/>
  <c r="U172" i="6"/>
  <c r="U196" i="6"/>
  <c r="U188" i="6"/>
  <c r="U180" i="6"/>
  <c r="U178" i="6"/>
  <c r="U171" i="6"/>
  <c r="U170" i="6"/>
  <c r="U177" i="6"/>
  <c r="U169" i="6"/>
  <c r="U195" i="6"/>
  <c r="U187" i="6"/>
  <c r="U179" i="6"/>
  <c r="U176" i="6"/>
  <c r="U174" i="6"/>
  <c r="U175" i="6"/>
  <c r="U173" i="6"/>
  <c r="U133" i="6"/>
  <c r="U131" i="6"/>
  <c r="U124" i="6"/>
  <c r="U116" i="6"/>
  <c r="U108" i="6"/>
  <c r="U123" i="6"/>
  <c r="U115" i="6"/>
  <c r="U132" i="6"/>
  <c r="U122" i="6"/>
  <c r="U114" i="6"/>
  <c r="U129" i="6"/>
  <c r="U121" i="6"/>
  <c r="U113" i="6"/>
  <c r="U130" i="6"/>
  <c r="U128" i="6"/>
  <c r="U120" i="6"/>
  <c r="U112" i="6"/>
  <c r="U126" i="6"/>
  <c r="U118" i="6"/>
  <c r="U110" i="6"/>
  <c r="U106" i="6"/>
  <c r="U98" i="6"/>
  <c r="U90" i="6"/>
  <c r="U109" i="6"/>
  <c r="U105" i="6"/>
  <c r="U97" i="6"/>
  <c r="U89" i="6"/>
  <c r="U104" i="6"/>
  <c r="U96" i="6"/>
  <c r="U88" i="6"/>
  <c r="U103" i="6"/>
  <c r="U95" i="6"/>
  <c r="U102" i="6"/>
  <c r="U94" i="6"/>
  <c r="U100" i="6"/>
  <c r="U92" i="6"/>
  <c r="U80" i="6"/>
  <c r="U127" i="6"/>
  <c r="U111" i="6"/>
  <c r="U87" i="6"/>
  <c r="U79" i="6"/>
  <c r="U117" i="6"/>
  <c r="U86" i="6"/>
  <c r="U107" i="6"/>
  <c r="U99" i="6"/>
  <c r="U91" i="6"/>
  <c r="U85" i="6"/>
  <c r="U84" i="6"/>
  <c r="U125" i="6"/>
  <c r="U82" i="6"/>
  <c r="O224" i="6"/>
  <c r="U224" i="6"/>
  <c r="U83" i="6"/>
  <c r="U119" i="6"/>
  <c r="B175" i="2"/>
  <c r="B197" i="2"/>
  <c r="B174" i="1" s="1"/>
  <c r="O81" i="6"/>
  <c r="U93" i="6"/>
  <c r="B253" i="2"/>
  <c r="O79" i="6"/>
  <c r="U81" i="6"/>
  <c r="O87" i="6"/>
  <c r="B254" i="2"/>
  <c r="D156" i="2" l="1"/>
  <c r="B133" i="1"/>
  <c r="AK15" i="2"/>
  <c r="O134" i="6"/>
  <c r="P134" i="6" s="1"/>
  <c r="D155" i="2"/>
  <c r="U136" i="6"/>
  <c r="W136" i="6" s="1"/>
  <c r="B40" i="2"/>
  <c r="B42" i="2" s="1"/>
  <c r="B37" i="1" s="1"/>
  <c r="B163" i="1"/>
  <c r="B220" i="2"/>
  <c r="X23" i="2"/>
  <c r="Z23" i="2" s="1"/>
  <c r="AA23" i="2" s="1"/>
  <c r="U15" i="2"/>
  <c r="B149" i="1"/>
  <c r="Y27" i="2"/>
  <c r="Q27" i="2"/>
  <c r="P23" i="2"/>
  <c r="R23" i="2" s="1"/>
  <c r="S23" i="2" s="1"/>
  <c r="AG23" i="2"/>
  <c r="AG27" i="2"/>
  <c r="Y23" i="2"/>
  <c r="AF27" i="2"/>
  <c r="AH27" i="2" s="1"/>
  <c r="AI27" i="2" s="1"/>
  <c r="Q23" i="2"/>
  <c r="X27" i="2"/>
  <c r="Z27" i="2" s="1"/>
  <c r="AA27" i="2" s="1"/>
  <c r="P27" i="2"/>
  <c r="R27" i="2" s="1"/>
  <c r="S27" i="2" s="1"/>
  <c r="AF23" i="2"/>
  <c r="AH23" i="2" s="1"/>
  <c r="AI23" i="2" s="1"/>
  <c r="P15" i="2"/>
  <c r="R15" i="2" s="1"/>
  <c r="S15" i="2" s="1"/>
  <c r="AB18" i="2"/>
  <c r="AD18" i="2" s="1"/>
  <c r="AE18" i="2" s="1"/>
  <c r="AK18" i="2"/>
  <c r="AC18" i="2"/>
  <c r="U53" i="2"/>
  <c r="AC53" i="2"/>
  <c r="U27" i="2"/>
  <c r="AB27" i="2"/>
  <c r="AD27" i="2" s="1"/>
  <c r="AE27" i="2" s="1"/>
  <c r="T27" i="2"/>
  <c r="V27" i="2" s="1"/>
  <c r="W27" i="2" s="1"/>
  <c r="AF18" i="2"/>
  <c r="AH18" i="2" s="1"/>
  <c r="AI18" i="2" s="1"/>
  <c r="AF6" i="2"/>
  <c r="X6" i="2"/>
  <c r="Z6" i="2" s="1"/>
  <c r="P6" i="2"/>
  <c r="R6" i="2" s="1"/>
  <c r="Y17" i="2"/>
  <c r="Q17" i="2"/>
  <c r="T6" i="2"/>
  <c r="AB20" i="2"/>
  <c r="AD20" i="2" s="1"/>
  <c r="AE20" i="2" s="1"/>
  <c r="AC20" i="2"/>
  <c r="AJ17" i="2"/>
  <c r="AL17" i="2" s="1"/>
  <c r="AC17" i="2"/>
  <c r="U17" i="2"/>
  <c r="AJ20" i="2"/>
  <c r="AL20" i="2" s="1"/>
  <c r="AM20" i="2" s="1"/>
  <c r="P20" i="2"/>
  <c r="R20" i="2" s="1"/>
  <c r="S20" i="2" s="1"/>
  <c r="AF20" i="2"/>
  <c r="AH20" i="2" s="1"/>
  <c r="AI20" i="2" s="1"/>
  <c r="AB6" i="2"/>
  <c r="T26" i="2"/>
  <c r="V26" i="2" s="1"/>
  <c r="W26" i="2" s="1"/>
  <c r="Y20" i="2"/>
  <c r="Y6" i="2"/>
  <c r="AG20" i="2"/>
  <c r="U6" i="2"/>
  <c r="T20" i="2"/>
  <c r="V20" i="2" s="1"/>
  <c r="W20" i="2" s="1"/>
  <c r="AK6" i="2"/>
  <c r="AG26" i="2"/>
  <c r="Y26" i="2"/>
  <c r="Q26" i="2"/>
  <c r="AF26" i="2"/>
  <c r="AH26" i="2" s="1"/>
  <c r="AI26" i="2" s="1"/>
  <c r="AB26" i="2"/>
  <c r="AD26" i="2" s="1"/>
  <c r="AE26" i="2" s="1"/>
  <c r="P26" i="2"/>
  <c r="R26" i="2" s="1"/>
  <c r="S26" i="2" s="1"/>
  <c r="X26" i="2"/>
  <c r="Z26" i="2" s="1"/>
  <c r="AA26" i="2" s="1"/>
  <c r="P29" i="2"/>
  <c r="R29" i="2" s="1"/>
  <c r="S29" i="2" s="1"/>
  <c r="Q29" i="2"/>
  <c r="Y29" i="2"/>
  <c r="AB29" i="2"/>
  <c r="AD29" i="2" s="1"/>
  <c r="AE29" i="2" s="1"/>
  <c r="U29" i="2"/>
  <c r="AJ29" i="2"/>
  <c r="AL29" i="2" s="1"/>
  <c r="AM29" i="2" s="1"/>
  <c r="X20" i="2"/>
  <c r="Z20" i="2" s="1"/>
  <c r="AA20" i="2" s="1"/>
  <c r="U20" i="2"/>
  <c r="AK29" i="2"/>
  <c r="Q6" i="2"/>
  <c r="AG6" i="2"/>
  <c r="Q20" i="2"/>
  <c r="AJ6" i="2"/>
  <c r="AL6" i="2" s="1"/>
  <c r="AF29" i="2"/>
  <c r="AH29" i="2" s="1"/>
  <c r="AI29" i="2" s="1"/>
  <c r="AC26" i="2"/>
  <c r="AJ53" i="2"/>
  <c r="AL53" i="2" s="1"/>
  <c r="AM53" i="2" s="1"/>
  <c r="AK53" i="2"/>
  <c r="Y53" i="2"/>
  <c r="P53" i="2"/>
  <c r="R53" i="2" s="1"/>
  <c r="S53" i="2" s="1"/>
  <c r="AG53" i="2"/>
  <c r="X53" i="2"/>
  <c r="Z53" i="2" s="1"/>
  <c r="AA53" i="2" s="1"/>
  <c r="Q53" i="2"/>
  <c r="AF53" i="2"/>
  <c r="AH53" i="2" s="1"/>
  <c r="AI53" i="2" s="1"/>
  <c r="AB53" i="2"/>
  <c r="AD53" i="2" s="1"/>
  <c r="AE53" i="2" s="1"/>
  <c r="X15" i="2"/>
  <c r="Z15" i="2" s="1"/>
  <c r="AG17" i="2"/>
  <c r="AC15" i="2"/>
  <c r="AK17" i="2"/>
  <c r="U18" i="2"/>
  <c r="AG15" i="2"/>
  <c r="AG14" i="2"/>
  <c r="AF17" i="2"/>
  <c r="AH17" i="2" s="1"/>
  <c r="AI17" i="2" s="1"/>
  <c r="AF14" i="2"/>
  <c r="AK14" i="2"/>
  <c r="T15" i="2"/>
  <c r="V15" i="2" s="1"/>
  <c r="AB17" i="2"/>
  <c r="AD17" i="2" s="1"/>
  <c r="AE17" i="2" s="1"/>
  <c r="X18" i="2"/>
  <c r="Z18" i="2" s="1"/>
  <c r="AA18" i="2" s="1"/>
  <c r="Y14" i="2"/>
  <c r="X17" i="2"/>
  <c r="Z17" i="2" s="1"/>
  <c r="X14" i="2"/>
  <c r="Z14" i="2" s="1"/>
  <c r="AC14" i="2"/>
  <c r="AB15" i="2"/>
  <c r="AD15" i="2" s="1"/>
  <c r="AE15" i="2" s="1"/>
  <c r="P18" i="2"/>
  <c r="R18" i="2" s="1"/>
  <c r="S18" i="2" s="1"/>
  <c r="Q14" i="2"/>
  <c r="P17" i="2"/>
  <c r="R17" i="2" s="1"/>
  <c r="S17" i="2" s="1"/>
  <c r="P14" i="2"/>
  <c r="R14" i="2" s="1"/>
  <c r="S14" i="2" s="1"/>
  <c r="U14" i="2"/>
  <c r="AJ15" i="2"/>
  <c r="AL15" i="2" s="1"/>
  <c r="Q18" i="2"/>
  <c r="AF15" i="2"/>
  <c r="U21" i="2"/>
  <c r="B182" i="1"/>
  <c r="AB8" i="2"/>
  <c r="AD8" i="2" s="1"/>
  <c r="Y15" i="2"/>
  <c r="B48" i="1"/>
  <c r="B81" i="2"/>
  <c r="B49" i="1" s="1"/>
  <c r="T18" i="2"/>
  <c r="V18" i="2" s="1"/>
  <c r="W18" i="2" s="1"/>
  <c r="AG18" i="2"/>
  <c r="B183" i="1"/>
  <c r="AJ14" i="2"/>
  <c r="AL14" i="2" s="1"/>
  <c r="AB14" i="2"/>
  <c r="AD14" i="2" s="1"/>
  <c r="AE14" i="2" s="1"/>
  <c r="AC27" i="2"/>
  <c r="U135" i="6"/>
  <c r="W135" i="6" s="1"/>
  <c r="O135" i="6"/>
  <c r="Q135" i="6" s="1"/>
  <c r="D113" i="6"/>
  <c r="G113" i="6" s="1"/>
  <c r="H113" i="6" s="1"/>
  <c r="D129" i="6"/>
  <c r="J129" i="6" s="1"/>
  <c r="L129" i="6" s="1"/>
  <c r="D110" i="6"/>
  <c r="G110" i="6" s="1"/>
  <c r="D101" i="6"/>
  <c r="G101" i="6" s="1"/>
  <c r="I101" i="6" s="1"/>
  <c r="D96" i="6"/>
  <c r="G96" i="6" s="1"/>
  <c r="H96" i="6" s="1"/>
  <c r="AJ23" i="2"/>
  <c r="AL23" i="2" s="1"/>
  <c r="AM23" i="2" s="1"/>
  <c r="AK27" i="2"/>
  <c r="AB23" i="2"/>
  <c r="AD23" i="2" s="1"/>
  <c r="AE23" i="2" s="1"/>
  <c r="T23" i="2"/>
  <c r="V23" i="2" s="1"/>
  <c r="W23" i="2" s="1"/>
  <c r="AC23" i="2"/>
  <c r="AK23" i="2"/>
  <c r="D82" i="6"/>
  <c r="J82" i="6" s="1"/>
  <c r="D133" i="6"/>
  <c r="J133" i="6" s="1"/>
  <c r="L133" i="6" s="1"/>
  <c r="D121" i="6"/>
  <c r="J121" i="6" s="1"/>
  <c r="D84" i="6"/>
  <c r="G84" i="6" s="1"/>
  <c r="I84" i="6" s="1"/>
  <c r="D104" i="6"/>
  <c r="J104" i="6" s="1"/>
  <c r="K104" i="6" s="1"/>
  <c r="D123" i="6"/>
  <c r="G123" i="6" s="1"/>
  <c r="H123" i="6" s="1"/>
  <c r="D94" i="6"/>
  <c r="J94" i="6" s="1"/>
  <c r="L94" i="6" s="1"/>
  <c r="D89" i="6"/>
  <c r="J89" i="6" s="1"/>
  <c r="D116" i="6"/>
  <c r="G116" i="6" s="1"/>
  <c r="I116" i="6" s="1"/>
  <c r="D102" i="6"/>
  <c r="J102" i="6" s="1"/>
  <c r="K102" i="6" s="1"/>
  <c r="D98" i="6"/>
  <c r="J98" i="6" s="1"/>
  <c r="L98" i="6" s="1"/>
  <c r="D124" i="6"/>
  <c r="J124" i="6" s="1"/>
  <c r="L124" i="6" s="1"/>
  <c r="D80" i="6"/>
  <c r="J80" i="6" s="1"/>
  <c r="L80" i="6" s="1"/>
  <c r="D106" i="6"/>
  <c r="J106" i="6" s="1"/>
  <c r="L106" i="6" s="1"/>
  <c r="D134" i="6"/>
  <c r="J134" i="6" s="1"/>
  <c r="L134" i="6" s="1"/>
  <c r="AK7" i="2"/>
  <c r="AJ7" i="2"/>
  <c r="D93" i="6"/>
  <c r="J93" i="6" s="1"/>
  <c r="L93" i="6" s="1"/>
  <c r="D91" i="6"/>
  <c r="G91" i="6" s="1"/>
  <c r="H91" i="6" s="1"/>
  <c r="U7" i="2"/>
  <c r="AC7" i="2"/>
  <c r="D83" i="6"/>
  <c r="E83" i="6" s="1"/>
  <c r="D88" i="6"/>
  <c r="G88" i="6" s="1"/>
  <c r="H88" i="6" s="1"/>
  <c r="D95" i="6"/>
  <c r="J95" i="6" s="1"/>
  <c r="L95" i="6" s="1"/>
  <c r="D97" i="6"/>
  <c r="G97" i="6" s="1"/>
  <c r="H97" i="6" s="1"/>
  <c r="D99" i="6"/>
  <c r="J99" i="6" s="1"/>
  <c r="K99" i="6" s="1"/>
  <c r="D136" i="6"/>
  <c r="J136" i="6" s="1"/>
  <c r="K136" i="6" s="1"/>
  <c r="D109" i="6"/>
  <c r="G109" i="6" s="1"/>
  <c r="H109" i="6" s="1"/>
  <c r="AB7" i="2"/>
  <c r="V101" i="6"/>
  <c r="B194" i="2"/>
  <c r="B195" i="2" s="1"/>
  <c r="B137" i="6" s="1"/>
  <c r="C137" i="6" s="1"/>
  <c r="D85" i="6"/>
  <c r="F85" i="6" s="1"/>
  <c r="D81" i="6"/>
  <c r="G81" i="6" s="1"/>
  <c r="I81" i="6" s="1"/>
  <c r="D103" i="6"/>
  <c r="G103" i="6" s="1"/>
  <c r="H103" i="6" s="1"/>
  <c r="D105" i="6"/>
  <c r="J105" i="6" s="1"/>
  <c r="L105" i="6" s="1"/>
  <c r="D107" i="6"/>
  <c r="J107" i="6" s="1"/>
  <c r="L107" i="6" s="1"/>
  <c r="D114" i="6"/>
  <c r="G114" i="6" s="1"/>
  <c r="I114" i="6" s="1"/>
  <c r="D117" i="6"/>
  <c r="F117" i="6" s="1"/>
  <c r="T7" i="2"/>
  <c r="V7" i="2" s="1"/>
  <c r="X7" i="2"/>
  <c r="Z7" i="2" s="1"/>
  <c r="D86" i="6"/>
  <c r="G86" i="6" s="1"/>
  <c r="I86" i="6" s="1"/>
  <c r="D92" i="6"/>
  <c r="G92" i="6" s="1"/>
  <c r="H92" i="6" s="1"/>
  <c r="D112" i="6"/>
  <c r="G112" i="6" s="1"/>
  <c r="I112" i="6" s="1"/>
  <c r="D118" i="6"/>
  <c r="G118" i="6" s="1"/>
  <c r="I118" i="6" s="1"/>
  <c r="D111" i="6"/>
  <c r="G111" i="6" s="1"/>
  <c r="H111" i="6" s="1"/>
  <c r="D122" i="6"/>
  <c r="J122" i="6" s="1"/>
  <c r="L122" i="6" s="1"/>
  <c r="D125" i="6"/>
  <c r="J125" i="6" s="1"/>
  <c r="L125" i="6" s="1"/>
  <c r="B222" i="2"/>
  <c r="D79" i="6"/>
  <c r="J79" i="6" s="1"/>
  <c r="K79" i="6" s="1"/>
  <c r="D100" i="6"/>
  <c r="J100" i="6" s="1"/>
  <c r="K100" i="6" s="1"/>
  <c r="D120" i="6"/>
  <c r="J120" i="6" s="1"/>
  <c r="K120" i="6" s="1"/>
  <c r="D126" i="6"/>
  <c r="J126" i="6" s="1"/>
  <c r="K126" i="6" s="1"/>
  <c r="D119" i="6"/>
  <c r="J119" i="6" s="1"/>
  <c r="L119" i="6" s="1"/>
  <c r="D130" i="6"/>
  <c r="E130" i="6" s="1"/>
  <c r="D131" i="6"/>
  <c r="J131" i="6" s="1"/>
  <c r="K131" i="6" s="1"/>
  <c r="D87" i="6"/>
  <c r="F87" i="6" s="1"/>
  <c r="D108" i="6"/>
  <c r="G108" i="6" s="1"/>
  <c r="D128" i="6"/>
  <c r="G128" i="6" s="1"/>
  <c r="I128" i="6" s="1"/>
  <c r="D90" i="6"/>
  <c r="G90" i="6" s="1"/>
  <c r="D127" i="6"/>
  <c r="G127" i="6" s="1"/>
  <c r="H127" i="6" s="1"/>
  <c r="D115" i="6"/>
  <c r="J115" i="6" s="1"/>
  <c r="L115" i="6" s="1"/>
  <c r="D132" i="6"/>
  <c r="J132" i="6" s="1"/>
  <c r="L132" i="6" s="1"/>
  <c r="Y13" i="2"/>
  <c r="Q13" i="2"/>
  <c r="AF30" i="2"/>
  <c r="AH30" i="2" s="1"/>
  <c r="AI30" i="2" s="1"/>
  <c r="X29" i="2"/>
  <c r="Z29" i="2" s="1"/>
  <c r="AA29" i="2" s="1"/>
  <c r="AC29" i="2"/>
  <c r="AF7" i="2"/>
  <c r="AG7" i="2"/>
  <c r="Y16" i="2"/>
  <c r="Y7" i="2"/>
  <c r="AG16" i="2"/>
  <c r="U13" i="2"/>
  <c r="X13" i="2"/>
  <c r="Q7" i="2"/>
  <c r="AJ18" i="2"/>
  <c r="AL18" i="2" s="1"/>
  <c r="AM18" i="2" s="1"/>
  <c r="T29" i="2"/>
  <c r="V29" i="2" s="1"/>
  <c r="W29" i="2" s="1"/>
  <c r="AK26" i="2"/>
  <c r="AJ26" i="2"/>
  <c r="AL26" i="2" s="1"/>
  <c r="AM26" i="2" s="1"/>
  <c r="AB13" i="2"/>
  <c r="Q55" i="2"/>
  <c r="P13" i="2"/>
  <c r="R13" i="2" s="1"/>
  <c r="AG25" i="2"/>
  <c r="T13" i="2"/>
  <c r="AG13" i="2"/>
  <c r="AF13" i="2"/>
  <c r="B157" i="1"/>
  <c r="Y9" i="2"/>
  <c r="AB43" i="2"/>
  <c r="AD43" i="2" s="1"/>
  <c r="AE43" i="2" s="1"/>
  <c r="X9" i="2"/>
  <c r="Q9" i="2"/>
  <c r="P9" i="2"/>
  <c r="R9" i="2" s="1"/>
  <c r="AF12" i="2"/>
  <c r="AH12" i="2" s="1"/>
  <c r="U43" i="2"/>
  <c r="Y12" i="2"/>
  <c r="X43" i="2"/>
  <c r="Z43" i="2" s="1"/>
  <c r="AA43" i="2" s="1"/>
  <c r="T12" i="2"/>
  <c r="V12" i="2" s="1"/>
  <c r="Q43" i="2"/>
  <c r="AC12" i="2"/>
  <c r="Y43" i="2"/>
  <c r="AK9" i="2"/>
  <c r="AK12" i="2"/>
  <c r="U9" i="2"/>
  <c r="P43" i="2"/>
  <c r="R43" i="2" s="1"/>
  <c r="S43" i="2" s="1"/>
  <c r="AG9" i="2"/>
  <c r="AF9" i="2"/>
  <c r="AK43" i="2"/>
  <c r="T9" i="2"/>
  <c r="T8" i="2"/>
  <c r="V8" i="2" s="1"/>
  <c r="Q8" i="2"/>
  <c r="AK8" i="2"/>
  <c r="X8" i="2"/>
  <c r="U8" i="2"/>
  <c r="AB21" i="2"/>
  <c r="AD21" i="2" s="1"/>
  <c r="AE21" i="2" s="1"/>
  <c r="AC8" i="2"/>
  <c r="Q12" i="2"/>
  <c r="U24" i="2"/>
  <c r="AF8" i="2"/>
  <c r="AH8" i="2" s="1"/>
  <c r="AJ8" i="2"/>
  <c r="AL8" i="2" s="1"/>
  <c r="Y21" i="2"/>
  <c r="AG8" i="2"/>
  <c r="AJ24" i="2"/>
  <c r="AL24" i="2" s="1"/>
  <c r="AM24" i="2" s="1"/>
  <c r="AG12" i="2"/>
  <c r="AF43" i="2"/>
  <c r="AH43" i="2" s="1"/>
  <c r="AI43" i="2" s="1"/>
  <c r="P8" i="2"/>
  <c r="R7" i="2"/>
  <c r="S7" i="2" s="1"/>
  <c r="AK13" i="2"/>
  <c r="AB12" i="2"/>
  <c r="AD12" i="2" s="1"/>
  <c r="AC43" i="2"/>
  <c r="AG43" i="2"/>
  <c r="AJ13" i="2"/>
  <c r="AL13" i="2" s="1"/>
  <c r="AJ9" i="2"/>
  <c r="P12" i="2"/>
  <c r="AJ12" i="2"/>
  <c r="AJ43" i="2"/>
  <c r="AL43" i="2" s="1"/>
  <c r="AM43" i="2" s="1"/>
  <c r="AB33" i="2"/>
  <c r="AD33" i="2" s="1"/>
  <c r="AE33" i="2" s="1"/>
  <c r="B240" i="2"/>
  <c r="AC9" i="2"/>
  <c r="X12" i="2"/>
  <c r="Z12" i="2" s="1"/>
  <c r="AK30" i="2"/>
  <c r="B158" i="1"/>
  <c r="AJ19" i="2"/>
  <c r="AL19" i="2" s="1"/>
  <c r="AM19" i="2" s="1"/>
  <c r="AK24" i="2"/>
  <c r="U22" i="2"/>
  <c r="T24" i="2"/>
  <c r="V24" i="2" s="1"/>
  <c r="W24" i="2" s="1"/>
  <c r="Q89" i="6"/>
  <c r="AC21" i="2"/>
  <c r="D135" i="6"/>
  <c r="J135" i="6" s="1"/>
  <c r="L135" i="6" s="1"/>
  <c r="AJ21" i="2"/>
  <c r="AL21" i="2" s="1"/>
  <c r="AM21" i="2" s="1"/>
  <c r="AC24" i="2"/>
  <c r="AB24" i="2"/>
  <c r="AD24" i="2" s="1"/>
  <c r="AE24" i="2" s="1"/>
  <c r="AG24" i="2"/>
  <c r="T21" i="2"/>
  <c r="V21" i="2" s="1"/>
  <c r="W21" i="2" s="1"/>
  <c r="AF22" i="2"/>
  <c r="AH22" i="2" s="1"/>
  <c r="AI22" i="2" s="1"/>
  <c r="Q21" i="2"/>
  <c r="AB22" i="2"/>
  <c r="AD22" i="2" s="1"/>
  <c r="AE22" i="2" s="1"/>
  <c r="X22" i="2"/>
  <c r="Z22" i="2" s="1"/>
  <c r="AA22" i="2" s="1"/>
  <c r="Q24" i="2"/>
  <c r="AG22" i="2"/>
  <c r="P22" i="2"/>
  <c r="R22" i="2" s="1"/>
  <c r="S22" i="2" s="1"/>
  <c r="X21" i="2"/>
  <c r="Z21" i="2" s="1"/>
  <c r="AA21" i="2" s="1"/>
  <c r="AF21" i="2"/>
  <c r="AH21" i="2" s="1"/>
  <c r="AI21" i="2" s="1"/>
  <c r="X24" i="2"/>
  <c r="Z24" i="2" s="1"/>
  <c r="AA24" i="2" s="1"/>
  <c r="Y22" i="2"/>
  <c r="AE9" i="2"/>
  <c r="P21" i="2"/>
  <c r="R21" i="2" s="1"/>
  <c r="S21" i="2" s="1"/>
  <c r="AK22" i="2"/>
  <c r="AJ22" i="2"/>
  <c r="AL22" i="2" s="1"/>
  <c r="AM22" i="2" s="1"/>
  <c r="AF24" i="2"/>
  <c r="AH24" i="2" s="1"/>
  <c r="AI24" i="2" s="1"/>
  <c r="P24" i="2"/>
  <c r="R24" i="2" s="1"/>
  <c r="S24" i="2" s="1"/>
  <c r="Q22" i="2"/>
  <c r="AC22" i="2"/>
  <c r="AG21" i="2"/>
  <c r="X11" i="2"/>
  <c r="Z11" i="2" s="1"/>
  <c r="AB19" i="2"/>
  <c r="AD19" i="2" s="1"/>
  <c r="AE19" i="2" s="1"/>
  <c r="P11" i="2"/>
  <c r="R11" i="2" s="1"/>
  <c r="T19" i="2"/>
  <c r="V19" i="2" s="1"/>
  <c r="W19" i="2" s="1"/>
  <c r="AK19" i="2"/>
  <c r="AC19" i="2"/>
  <c r="AF10" i="2"/>
  <c r="AH10" i="2" s="1"/>
  <c r="AK11" i="2"/>
  <c r="AG10" i="2"/>
  <c r="U19" i="2"/>
  <c r="X10" i="2"/>
  <c r="AC11" i="2"/>
  <c r="Y10" i="2"/>
  <c r="P10" i="2"/>
  <c r="U11" i="2"/>
  <c r="Q10" i="2"/>
  <c r="V14" i="2"/>
  <c r="W14" i="2" s="1"/>
  <c r="T25" i="2"/>
  <c r="V25" i="2" s="1"/>
  <c r="W25" i="2" s="1"/>
  <c r="T16" i="2"/>
  <c r="T11" i="2"/>
  <c r="AF19" i="2"/>
  <c r="AH19" i="2" s="1"/>
  <c r="AI19" i="2" s="1"/>
  <c r="AB25" i="2"/>
  <c r="AD25" i="2" s="1"/>
  <c r="AE25" i="2" s="1"/>
  <c r="X19" i="2"/>
  <c r="Z19" i="2" s="1"/>
  <c r="AA19" i="2" s="1"/>
  <c r="AK10" i="2"/>
  <c r="AB16" i="2"/>
  <c r="AD16" i="2" s="1"/>
  <c r="AE16" i="2" s="1"/>
  <c r="AB11" i="2"/>
  <c r="P25" i="2"/>
  <c r="R25" i="2" s="1"/>
  <c r="S25" i="2" s="1"/>
  <c r="AJ25" i="2"/>
  <c r="AL25" i="2" s="1"/>
  <c r="AM25" i="2" s="1"/>
  <c r="Q11" i="2"/>
  <c r="AG19" i="2"/>
  <c r="AJ10" i="2"/>
  <c r="AL10" i="2" s="1"/>
  <c r="P16" i="2"/>
  <c r="R16" i="2" s="1"/>
  <c r="S16" i="2" s="1"/>
  <c r="AJ16" i="2"/>
  <c r="U10" i="2"/>
  <c r="AJ11" i="2"/>
  <c r="AL11" i="2" s="1"/>
  <c r="X25" i="2"/>
  <c r="Z25" i="2" s="1"/>
  <c r="AA25" i="2" s="1"/>
  <c r="U25" i="2"/>
  <c r="AG11" i="2"/>
  <c r="Y19" i="2"/>
  <c r="AB10" i="2"/>
  <c r="AD10" i="2" s="1"/>
  <c r="B28" i="2"/>
  <c r="D219" i="6" s="1"/>
  <c r="F219" i="6" s="1"/>
  <c r="X16" i="2"/>
  <c r="U16" i="2"/>
  <c r="AC10" i="2"/>
  <c r="AF25" i="2"/>
  <c r="AH25" i="2" s="1"/>
  <c r="AI25" i="2" s="1"/>
  <c r="AC25" i="2"/>
  <c r="AF11" i="2"/>
  <c r="AH11" i="2" s="1"/>
  <c r="P19" i="2"/>
  <c r="R19" i="2" s="1"/>
  <c r="S19" i="2" s="1"/>
  <c r="B73" i="2"/>
  <c r="B29" i="2"/>
  <c r="AF16" i="2"/>
  <c r="AC16" i="2"/>
  <c r="Q25" i="2"/>
  <c r="AK25" i="2"/>
  <c r="Q16" i="2"/>
  <c r="AG33" i="2"/>
  <c r="Y55" i="2"/>
  <c r="X30" i="2"/>
  <c r="Z30" i="2" s="1"/>
  <c r="AA30" i="2" s="1"/>
  <c r="AC30" i="2"/>
  <c r="AG30" i="2"/>
  <c r="AG55" i="2"/>
  <c r="P30" i="2"/>
  <c r="R30" i="2" s="1"/>
  <c r="S30" i="2" s="1"/>
  <c r="AB30" i="2"/>
  <c r="AD30" i="2" s="1"/>
  <c r="AE30" i="2" s="1"/>
  <c r="Y30" i="2"/>
  <c r="X55" i="2"/>
  <c r="Z55" i="2" s="1"/>
  <c r="AA55" i="2" s="1"/>
  <c r="T55" i="2"/>
  <c r="V55" i="2" s="1"/>
  <c r="W55" i="2" s="1"/>
  <c r="T30" i="2"/>
  <c r="V30" i="2" s="1"/>
  <c r="W30" i="2" s="1"/>
  <c r="Q30" i="2"/>
  <c r="R55" i="2"/>
  <c r="S55" i="2" s="1"/>
  <c r="AB55" i="2"/>
  <c r="AD55" i="2" s="1"/>
  <c r="AE55" i="2" s="1"/>
  <c r="AC55" i="2"/>
  <c r="AJ55" i="2"/>
  <c r="AL55" i="2" s="1"/>
  <c r="AM55" i="2" s="1"/>
  <c r="U55" i="2"/>
  <c r="AK55" i="2"/>
  <c r="AF55" i="2"/>
  <c r="AH55" i="2" s="1"/>
  <c r="AI55" i="2" s="1"/>
  <c r="U30" i="2"/>
  <c r="T33" i="2"/>
  <c r="V33" i="2" s="1"/>
  <c r="W33" i="2" s="1"/>
  <c r="P33" i="2"/>
  <c r="R33" i="2" s="1"/>
  <c r="S33" i="2" s="1"/>
  <c r="AJ33" i="2"/>
  <c r="AL33" i="2" s="1"/>
  <c r="AM33" i="2" s="1"/>
  <c r="X33" i="2"/>
  <c r="Z33" i="2" s="1"/>
  <c r="AA33" i="2" s="1"/>
  <c r="U33" i="2"/>
  <c r="AF33" i="2"/>
  <c r="AH33" i="2" s="1"/>
  <c r="AI33" i="2" s="1"/>
  <c r="AC33" i="2"/>
  <c r="Q33" i="2"/>
  <c r="AK33" i="2"/>
  <c r="B261" i="2"/>
  <c r="B263" i="2" s="1"/>
  <c r="W10" i="2"/>
  <c r="W116" i="6"/>
  <c r="V116" i="6"/>
  <c r="Q91" i="6"/>
  <c r="P91" i="6"/>
  <c r="Q193" i="6"/>
  <c r="P193" i="6"/>
  <c r="W114" i="6"/>
  <c r="V114" i="6"/>
  <c r="W207" i="6"/>
  <c r="V207" i="6"/>
  <c r="Q173" i="6"/>
  <c r="P173" i="6"/>
  <c r="Q195" i="6"/>
  <c r="P195" i="6"/>
  <c r="J34" i="6"/>
  <c r="E34" i="6"/>
  <c r="F34" i="6"/>
  <c r="F12" i="6"/>
  <c r="E12" i="6"/>
  <c r="J12" i="6"/>
  <c r="I41" i="6"/>
  <c r="H41" i="6"/>
  <c r="V110" i="6"/>
  <c r="W110" i="6"/>
  <c r="W192" i="6"/>
  <c r="V192" i="6"/>
  <c r="Q212" i="6"/>
  <c r="P212" i="6"/>
  <c r="V117" i="6"/>
  <c r="W117" i="6"/>
  <c r="W131" i="6"/>
  <c r="V131" i="6"/>
  <c r="W205" i="6"/>
  <c r="V205" i="6"/>
  <c r="Q119" i="6"/>
  <c r="P119" i="6"/>
  <c r="Q222" i="6"/>
  <c r="P222" i="6"/>
  <c r="AK45" i="2"/>
  <c r="P45" i="2"/>
  <c r="R45" i="2" s="1"/>
  <c r="S45" i="2" s="1"/>
  <c r="AB45" i="2"/>
  <c r="AD45" i="2" s="1"/>
  <c r="AE45" i="2" s="1"/>
  <c r="AJ45" i="2"/>
  <c r="AL45" i="2" s="1"/>
  <c r="AM45" i="2" s="1"/>
  <c r="Y45" i="2"/>
  <c r="X45" i="2"/>
  <c r="Z45" i="2" s="1"/>
  <c r="AA45" i="2" s="1"/>
  <c r="AG45" i="2"/>
  <c r="Q45" i="2"/>
  <c r="AF45" i="2"/>
  <c r="AH45" i="2" s="1"/>
  <c r="AI45" i="2" s="1"/>
  <c r="U45" i="2"/>
  <c r="T45" i="2"/>
  <c r="V45" i="2" s="1"/>
  <c r="W45" i="2" s="1"/>
  <c r="AC45" i="2"/>
  <c r="AK51" i="2"/>
  <c r="AC51" i="2"/>
  <c r="U51" i="2"/>
  <c r="AJ51" i="2"/>
  <c r="AL51" i="2" s="1"/>
  <c r="AM51" i="2" s="1"/>
  <c r="AB51" i="2"/>
  <c r="AD51" i="2" s="1"/>
  <c r="AE51" i="2" s="1"/>
  <c r="T51" i="2"/>
  <c r="V51" i="2" s="1"/>
  <c r="W51" i="2" s="1"/>
  <c r="P51" i="2"/>
  <c r="R51" i="2" s="1"/>
  <c r="S51" i="2" s="1"/>
  <c r="AG51" i="2"/>
  <c r="AF51" i="2"/>
  <c r="AH51" i="2" s="1"/>
  <c r="AI51" i="2" s="1"/>
  <c r="Q51" i="2"/>
  <c r="Y51" i="2"/>
  <c r="X51" i="2"/>
  <c r="Z51" i="2" s="1"/>
  <c r="AA51" i="2" s="1"/>
  <c r="I44" i="6"/>
  <c r="H44" i="6"/>
  <c r="E29" i="6"/>
  <c r="J29" i="6"/>
  <c r="F29" i="6"/>
  <c r="F38" i="6"/>
  <c r="E38" i="6"/>
  <c r="J38" i="6"/>
  <c r="F43" i="6"/>
  <c r="E43" i="6"/>
  <c r="J43" i="6"/>
  <c r="J48" i="6"/>
  <c r="F48" i="6"/>
  <c r="E48" i="6"/>
  <c r="AG48" i="2"/>
  <c r="Y48" i="2"/>
  <c r="Q48" i="2"/>
  <c r="AF48" i="2"/>
  <c r="AH48" i="2" s="1"/>
  <c r="AI48" i="2" s="1"/>
  <c r="X48" i="2"/>
  <c r="Z48" i="2" s="1"/>
  <c r="AA48" i="2" s="1"/>
  <c r="P48" i="2"/>
  <c r="R48" i="2" s="1"/>
  <c r="S48" i="2" s="1"/>
  <c r="AK48" i="2"/>
  <c r="AC48" i="2"/>
  <c r="U48" i="2"/>
  <c r="AB48" i="2"/>
  <c r="AD48" i="2" s="1"/>
  <c r="AE48" i="2" s="1"/>
  <c r="T48" i="2"/>
  <c r="V48" i="2" s="1"/>
  <c r="W48" i="2" s="1"/>
  <c r="AJ48" i="2"/>
  <c r="AL48" i="2" s="1"/>
  <c r="AM48" i="2" s="1"/>
  <c r="AJ52" i="2"/>
  <c r="AL52" i="2" s="1"/>
  <c r="AM52" i="2" s="1"/>
  <c r="AG52" i="2"/>
  <c r="Y52" i="2"/>
  <c r="Q52" i="2"/>
  <c r="AF52" i="2"/>
  <c r="AH52" i="2" s="1"/>
  <c r="AI52" i="2" s="1"/>
  <c r="X52" i="2"/>
  <c r="Z52" i="2" s="1"/>
  <c r="AA52" i="2" s="1"/>
  <c r="P52" i="2"/>
  <c r="R52" i="2" s="1"/>
  <c r="S52" i="2" s="1"/>
  <c r="AC52" i="2"/>
  <c r="U52" i="2"/>
  <c r="AK52" i="2"/>
  <c r="AB52" i="2"/>
  <c r="AD52" i="2" s="1"/>
  <c r="AE52" i="2" s="1"/>
  <c r="T52" i="2"/>
  <c r="V52" i="2" s="1"/>
  <c r="W52" i="2" s="1"/>
  <c r="W119" i="6"/>
  <c r="V119" i="6"/>
  <c r="V125" i="6"/>
  <c r="W125" i="6"/>
  <c r="V79" i="6"/>
  <c r="W79" i="6"/>
  <c r="W102" i="6"/>
  <c r="V102" i="6"/>
  <c r="V105" i="6"/>
  <c r="W105" i="6"/>
  <c r="W112" i="6"/>
  <c r="V112" i="6"/>
  <c r="W122" i="6"/>
  <c r="V122" i="6"/>
  <c r="W133" i="6"/>
  <c r="V133" i="6"/>
  <c r="W187" i="6"/>
  <c r="V187" i="6"/>
  <c r="W188" i="6"/>
  <c r="V188" i="6"/>
  <c r="W189" i="6"/>
  <c r="V189" i="6"/>
  <c r="W198" i="6"/>
  <c r="V198" i="6"/>
  <c r="W215" i="6"/>
  <c r="V215" i="6"/>
  <c r="W218" i="6"/>
  <c r="V218" i="6"/>
  <c r="W213" i="6"/>
  <c r="V213" i="6"/>
  <c r="P123" i="6"/>
  <c r="Q123" i="6"/>
  <c r="P115" i="6"/>
  <c r="Q115" i="6"/>
  <c r="Q108" i="6"/>
  <c r="P108" i="6"/>
  <c r="P95" i="6"/>
  <c r="Q95" i="6"/>
  <c r="Q130" i="6"/>
  <c r="P130" i="6"/>
  <c r="Q127" i="6"/>
  <c r="P127" i="6"/>
  <c r="P129" i="6"/>
  <c r="Q129" i="6"/>
  <c r="Q132" i="6"/>
  <c r="P132" i="6"/>
  <c r="Q170" i="6"/>
  <c r="P170" i="6"/>
  <c r="Q203" i="6"/>
  <c r="P203" i="6"/>
  <c r="Q190" i="6"/>
  <c r="P190" i="6"/>
  <c r="Q207" i="6"/>
  <c r="P207" i="6"/>
  <c r="Q202" i="6"/>
  <c r="P202" i="6"/>
  <c r="B226" i="6"/>
  <c r="C226" i="6" s="1"/>
  <c r="B200" i="1"/>
  <c r="AF37" i="2"/>
  <c r="AH37" i="2" s="1"/>
  <c r="AI37" i="2" s="1"/>
  <c r="X37" i="2"/>
  <c r="Z37" i="2" s="1"/>
  <c r="AA37" i="2" s="1"/>
  <c r="P37" i="2"/>
  <c r="R37" i="2" s="1"/>
  <c r="S37" i="2" s="1"/>
  <c r="AK37" i="2"/>
  <c r="AC37" i="2"/>
  <c r="U37" i="2"/>
  <c r="AJ37" i="2"/>
  <c r="AL37" i="2" s="1"/>
  <c r="AM37" i="2" s="1"/>
  <c r="AB37" i="2"/>
  <c r="AD37" i="2" s="1"/>
  <c r="AE37" i="2" s="1"/>
  <c r="T37" i="2"/>
  <c r="V37" i="2" s="1"/>
  <c r="W37" i="2" s="1"/>
  <c r="AG37" i="2"/>
  <c r="Y37" i="2"/>
  <c r="Q37" i="2"/>
  <c r="F19" i="6"/>
  <c r="E19" i="6"/>
  <c r="J19" i="6"/>
  <c r="AK54" i="2"/>
  <c r="P54" i="2"/>
  <c r="R54" i="2" s="1"/>
  <c r="S54" i="2" s="1"/>
  <c r="AJ54" i="2"/>
  <c r="AL54" i="2" s="1"/>
  <c r="AM54" i="2" s="1"/>
  <c r="Y54" i="2"/>
  <c r="X54" i="2"/>
  <c r="Z54" i="2" s="1"/>
  <c r="AA54" i="2" s="1"/>
  <c r="AG54" i="2"/>
  <c r="AC54" i="2"/>
  <c r="AF54" i="2"/>
  <c r="AH54" i="2" s="1"/>
  <c r="AI54" i="2" s="1"/>
  <c r="AB54" i="2"/>
  <c r="AD54" i="2" s="1"/>
  <c r="AE54" i="2" s="1"/>
  <c r="U54" i="2"/>
  <c r="T54" i="2"/>
  <c r="V54" i="2" s="1"/>
  <c r="W54" i="2" s="1"/>
  <c r="Q54" i="2"/>
  <c r="J8" i="6"/>
  <c r="E8" i="6"/>
  <c r="F8" i="6"/>
  <c r="I8" i="6"/>
  <c r="H8" i="6"/>
  <c r="F16" i="6"/>
  <c r="E16" i="6"/>
  <c r="J16" i="6"/>
  <c r="H47" i="6"/>
  <c r="I47" i="6"/>
  <c r="I27" i="6"/>
  <c r="H27" i="6"/>
  <c r="E33" i="6"/>
  <c r="J33" i="6"/>
  <c r="F33" i="6"/>
  <c r="J37" i="6"/>
  <c r="F37" i="6"/>
  <c r="E37" i="6"/>
  <c r="F42" i="6"/>
  <c r="E42" i="6"/>
  <c r="J42" i="6"/>
  <c r="I45" i="6"/>
  <c r="H45" i="6"/>
  <c r="F47" i="6"/>
  <c r="E47" i="6"/>
  <c r="J47" i="6"/>
  <c r="H50" i="6"/>
  <c r="I50" i="6"/>
  <c r="J52" i="6"/>
  <c r="F52" i="6"/>
  <c r="E52" i="6"/>
  <c r="AK46" i="2"/>
  <c r="AC46" i="2"/>
  <c r="U46" i="2"/>
  <c r="AJ46" i="2"/>
  <c r="AL46" i="2" s="1"/>
  <c r="AM46" i="2" s="1"/>
  <c r="AB46" i="2"/>
  <c r="AD46" i="2" s="1"/>
  <c r="AE46" i="2" s="1"/>
  <c r="T46" i="2"/>
  <c r="V46" i="2" s="1"/>
  <c r="W46" i="2" s="1"/>
  <c r="AG46" i="2"/>
  <c r="Y46" i="2"/>
  <c r="Q46" i="2"/>
  <c r="X46" i="2"/>
  <c r="Z46" i="2" s="1"/>
  <c r="AA46" i="2" s="1"/>
  <c r="AF46" i="2"/>
  <c r="AH46" i="2" s="1"/>
  <c r="AI46" i="2" s="1"/>
  <c r="P46" i="2"/>
  <c r="R46" i="2" s="1"/>
  <c r="S46" i="2" s="1"/>
  <c r="V171" i="6"/>
  <c r="W171" i="6"/>
  <c r="Q125" i="6"/>
  <c r="P125" i="6"/>
  <c r="P189" i="6"/>
  <c r="Q189" i="6"/>
  <c r="W126" i="6"/>
  <c r="V126" i="6"/>
  <c r="W190" i="6"/>
  <c r="V190" i="6"/>
  <c r="Q100" i="6"/>
  <c r="P100" i="6"/>
  <c r="Q178" i="6"/>
  <c r="P178" i="6"/>
  <c r="F9" i="6"/>
  <c r="E9" i="6"/>
  <c r="J9" i="6"/>
  <c r="I23" i="6"/>
  <c r="H23" i="6"/>
  <c r="H35" i="6"/>
  <c r="I35" i="6"/>
  <c r="H46" i="6"/>
  <c r="I46" i="6"/>
  <c r="W83" i="6"/>
  <c r="V83" i="6"/>
  <c r="W84" i="6"/>
  <c r="V84" i="6"/>
  <c r="V87" i="6"/>
  <c r="W87" i="6"/>
  <c r="W95" i="6"/>
  <c r="V95" i="6"/>
  <c r="V109" i="6"/>
  <c r="W109" i="6"/>
  <c r="W120" i="6"/>
  <c r="V120" i="6"/>
  <c r="W132" i="6"/>
  <c r="V132" i="6"/>
  <c r="W195" i="6"/>
  <c r="V195" i="6"/>
  <c r="W196" i="6"/>
  <c r="V196" i="6"/>
  <c r="W197" i="6"/>
  <c r="V197" i="6"/>
  <c r="V183" i="6"/>
  <c r="W183" i="6"/>
  <c r="W223" i="6"/>
  <c r="V223" i="6"/>
  <c r="V203" i="6"/>
  <c r="W203" i="6"/>
  <c r="W221" i="6"/>
  <c r="V221" i="6"/>
  <c r="Q194" i="6"/>
  <c r="P194" i="6"/>
  <c r="Q90" i="6"/>
  <c r="P90" i="6"/>
  <c r="Q93" i="6"/>
  <c r="P93" i="6"/>
  <c r="P103" i="6"/>
  <c r="Q103" i="6"/>
  <c r="P171" i="6"/>
  <c r="Q171" i="6"/>
  <c r="Q131" i="6"/>
  <c r="P131" i="6"/>
  <c r="Q114" i="6"/>
  <c r="P114" i="6"/>
  <c r="Q175" i="6"/>
  <c r="P175" i="6"/>
  <c r="P199" i="6"/>
  <c r="Q199" i="6"/>
  <c r="Q180" i="6"/>
  <c r="P180" i="6"/>
  <c r="Q198" i="6"/>
  <c r="P198" i="6"/>
  <c r="Q215" i="6"/>
  <c r="P215" i="6"/>
  <c r="P210" i="6"/>
  <c r="Q210" i="6"/>
  <c r="AF32" i="2"/>
  <c r="AH32" i="2" s="1"/>
  <c r="AI32" i="2" s="1"/>
  <c r="X32" i="2"/>
  <c r="Z32" i="2" s="1"/>
  <c r="AA32" i="2" s="1"/>
  <c r="P32" i="2"/>
  <c r="R32" i="2" s="1"/>
  <c r="S32" i="2" s="1"/>
  <c r="AK32" i="2"/>
  <c r="AC32" i="2"/>
  <c r="U32" i="2"/>
  <c r="AJ32" i="2"/>
  <c r="AL32" i="2" s="1"/>
  <c r="AM32" i="2" s="1"/>
  <c r="AB32" i="2"/>
  <c r="AD32" i="2" s="1"/>
  <c r="AE32" i="2" s="1"/>
  <c r="T32" i="2"/>
  <c r="V32" i="2" s="1"/>
  <c r="W32" i="2" s="1"/>
  <c r="AG32" i="2"/>
  <c r="Y32" i="2"/>
  <c r="Q32" i="2"/>
  <c r="AG36" i="2"/>
  <c r="Y36" i="2"/>
  <c r="Q36" i="2"/>
  <c r="AF36" i="2"/>
  <c r="AH36" i="2" s="1"/>
  <c r="AI36" i="2" s="1"/>
  <c r="X36" i="2"/>
  <c r="Z36" i="2" s="1"/>
  <c r="AA36" i="2" s="1"/>
  <c r="P36" i="2"/>
  <c r="R36" i="2" s="1"/>
  <c r="S36" i="2" s="1"/>
  <c r="AK36" i="2"/>
  <c r="AC36" i="2"/>
  <c r="U36" i="2"/>
  <c r="AJ36" i="2"/>
  <c r="AL36" i="2" s="1"/>
  <c r="AM36" i="2" s="1"/>
  <c r="AB36" i="2"/>
  <c r="AD36" i="2" s="1"/>
  <c r="AE36" i="2" s="1"/>
  <c r="T36" i="2"/>
  <c r="V36" i="2" s="1"/>
  <c r="W36" i="2" s="1"/>
  <c r="AF42" i="2"/>
  <c r="AH42" i="2" s="1"/>
  <c r="AI42" i="2" s="1"/>
  <c r="X42" i="2"/>
  <c r="Z42" i="2" s="1"/>
  <c r="AA42" i="2" s="1"/>
  <c r="P42" i="2"/>
  <c r="R42" i="2" s="1"/>
  <c r="S42" i="2" s="1"/>
  <c r="T42" i="2"/>
  <c r="V42" i="2" s="1"/>
  <c r="W42" i="2" s="1"/>
  <c r="AC42" i="2"/>
  <c r="AB42" i="2"/>
  <c r="AD42" i="2" s="1"/>
  <c r="AE42" i="2" s="1"/>
  <c r="Q42" i="2"/>
  <c r="AK42" i="2"/>
  <c r="AJ42" i="2"/>
  <c r="AL42" i="2" s="1"/>
  <c r="AM42" i="2" s="1"/>
  <c r="Y42" i="2"/>
  <c r="AG42" i="2"/>
  <c r="U42" i="2"/>
  <c r="I48" i="6"/>
  <c r="H48" i="6"/>
  <c r="AK50" i="2"/>
  <c r="AC50" i="2"/>
  <c r="U50" i="2"/>
  <c r="AJ50" i="2"/>
  <c r="AL50" i="2" s="1"/>
  <c r="AM50" i="2" s="1"/>
  <c r="AB50" i="2"/>
  <c r="AD50" i="2" s="1"/>
  <c r="AE50" i="2" s="1"/>
  <c r="T50" i="2"/>
  <c r="V50" i="2" s="1"/>
  <c r="W50" i="2" s="1"/>
  <c r="AG50" i="2"/>
  <c r="Y50" i="2"/>
  <c r="Q50" i="2"/>
  <c r="P50" i="2"/>
  <c r="R50" i="2" s="1"/>
  <c r="S50" i="2" s="1"/>
  <c r="X50" i="2"/>
  <c r="Z50" i="2" s="1"/>
  <c r="AA50" i="2" s="1"/>
  <c r="AF50" i="2"/>
  <c r="AH50" i="2" s="1"/>
  <c r="AI50" i="2" s="1"/>
  <c r="J10" i="6"/>
  <c r="E10" i="6"/>
  <c r="F10" i="6"/>
  <c r="I11" i="6"/>
  <c r="H11" i="6"/>
  <c r="I10" i="6"/>
  <c r="H10" i="6"/>
  <c r="F20" i="6"/>
  <c r="E20" i="6"/>
  <c r="J20" i="6"/>
  <c r="I52" i="6"/>
  <c r="H52" i="6"/>
  <c r="I31" i="6"/>
  <c r="H31" i="6"/>
  <c r="I12" i="6"/>
  <c r="H12" i="6"/>
  <c r="J41" i="6"/>
  <c r="F41" i="6"/>
  <c r="E41" i="6"/>
  <c r="F46" i="6"/>
  <c r="E46" i="6"/>
  <c r="J46" i="6"/>
  <c r="I49" i="6"/>
  <c r="H49" i="6"/>
  <c r="F51" i="6"/>
  <c r="E51" i="6"/>
  <c r="J51" i="6"/>
  <c r="H54" i="6"/>
  <c r="I54" i="6"/>
  <c r="J56" i="6"/>
  <c r="F56" i="6"/>
  <c r="E56" i="6"/>
  <c r="B147" i="2"/>
  <c r="B123" i="1" s="1"/>
  <c r="Q81" i="6"/>
  <c r="P81" i="6"/>
  <c r="W174" i="6"/>
  <c r="V174" i="6"/>
  <c r="Q84" i="6"/>
  <c r="P84" i="6"/>
  <c r="Q179" i="6"/>
  <c r="P179" i="6"/>
  <c r="V97" i="6"/>
  <c r="W97" i="6"/>
  <c r="W181" i="6"/>
  <c r="V181" i="6"/>
  <c r="Q86" i="6"/>
  <c r="P86" i="6"/>
  <c r="P177" i="6"/>
  <c r="Q177" i="6"/>
  <c r="P87" i="6"/>
  <c r="Q87" i="6"/>
  <c r="W224" i="6"/>
  <c r="V224" i="6"/>
  <c r="W111" i="6"/>
  <c r="V111" i="6"/>
  <c r="W90" i="6"/>
  <c r="V90" i="6"/>
  <c r="W169" i="6"/>
  <c r="V169" i="6"/>
  <c r="W172" i="6"/>
  <c r="V172" i="6"/>
  <c r="W201" i="6"/>
  <c r="V201" i="6"/>
  <c r="V191" i="6"/>
  <c r="W191" i="6"/>
  <c r="W208" i="6"/>
  <c r="V208" i="6"/>
  <c r="W211" i="6"/>
  <c r="V211" i="6"/>
  <c r="Q83" i="6"/>
  <c r="P83" i="6"/>
  <c r="Q98" i="6"/>
  <c r="P98" i="6"/>
  <c r="Q101" i="6"/>
  <c r="P101" i="6"/>
  <c r="Q88" i="6"/>
  <c r="P88" i="6"/>
  <c r="Q204" i="6"/>
  <c r="P204" i="6"/>
  <c r="Q112" i="6"/>
  <c r="P112" i="6"/>
  <c r="Q122" i="6"/>
  <c r="P122" i="6"/>
  <c r="Q133" i="6"/>
  <c r="P133" i="6"/>
  <c r="Q184" i="6"/>
  <c r="P184" i="6"/>
  <c r="Q188" i="6"/>
  <c r="P188" i="6"/>
  <c r="Q205" i="6"/>
  <c r="P205" i="6"/>
  <c r="Q223" i="6"/>
  <c r="P223" i="6"/>
  <c r="P218" i="6"/>
  <c r="Q218" i="6"/>
  <c r="B119" i="1"/>
  <c r="X111" i="2"/>
  <c r="Z111" i="2" s="1"/>
  <c r="AA111" i="2" s="1"/>
  <c r="P111" i="2"/>
  <c r="R111" i="2" s="1"/>
  <c r="S111" i="2" s="1"/>
  <c r="AN109" i="2"/>
  <c r="AF109" i="2"/>
  <c r="AI108" i="2"/>
  <c r="AK108" i="2" s="1"/>
  <c r="AL108" i="2" s="1"/>
  <c r="Y108" i="2"/>
  <c r="Q108" i="2"/>
  <c r="AM106" i="2"/>
  <c r="AO106" i="2" s="1"/>
  <c r="AP106" i="2" s="1"/>
  <c r="AE106" i="2"/>
  <c r="AG106" i="2" s="1"/>
  <c r="AH106" i="2" s="1"/>
  <c r="U106" i="2"/>
  <c r="AI104" i="2"/>
  <c r="AK104" i="2" s="1"/>
  <c r="AL104" i="2" s="1"/>
  <c r="Y104" i="2"/>
  <c r="Q104" i="2"/>
  <c r="AM102" i="2"/>
  <c r="AO102" i="2" s="1"/>
  <c r="AP102" i="2" s="1"/>
  <c r="AE102" i="2"/>
  <c r="AG102" i="2" s="1"/>
  <c r="AH102" i="2" s="1"/>
  <c r="U102" i="2"/>
  <c r="AI100" i="2"/>
  <c r="AK100" i="2" s="1"/>
  <c r="AL100" i="2" s="1"/>
  <c r="Y100" i="2"/>
  <c r="Q100" i="2"/>
  <c r="AM98" i="2"/>
  <c r="AO98" i="2" s="1"/>
  <c r="AP98" i="2" s="1"/>
  <c r="AE98" i="2"/>
  <c r="AG98" i="2" s="1"/>
  <c r="AH98" i="2" s="1"/>
  <c r="AJ110" i="2"/>
  <c r="AM109" i="2"/>
  <c r="AO109" i="2" s="1"/>
  <c r="AP109" i="2" s="1"/>
  <c r="AE109" i="2"/>
  <c r="AG109" i="2" s="1"/>
  <c r="AH109" i="2" s="1"/>
  <c r="U109" i="2"/>
  <c r="X108" i="2"/>
  <c r="Z108" i="2" s="1"/>
  <c r="AA108" i="2" s="1"/>
  <c r="P108" i="2"/>
  <c r="R108" i="2" s="1"/>
  <c r="S108" i="2" s="1"/>
  <c r="AJ107" i="2"/>
  <c r="T106" i="2"/>
  <c r="V106" i="2" s="1"/>
  <c r="W106" i="2" s="1"/>
  <c r="AN105" i="2"/>
  <c r="AF105" i="2"/>
  <c r="X104" i="2"/>
  <c r="Z104" i="2" s="1"/>
  <c r="AA104" i="2" s="1"/>
  <c r="P104" i="2"/>
  <c r="R104" i="2" s="1"/>
  <c r="S104" i="2" s="1"/>
  <c r="AJ103" i="2"/>
  <c r="T102" i="2"/>
  <c r="V102" i="2" s="1"/>
  <c r="W102" i="2" s="1"/>
  <c r="AN101" i="2"/>
  <c r="AF101" i="2"/>
  <c r="X100" i="2"/>
  <c r="Z100" i="2" s="1"/>
  <c r="AA100" i="2" s="1"/>
  <c r="P100" i="2"/>
  <c r="R100" i="2" s="1"/>
  <c r="S100" i="2" s="1"/>
  <c r="AJ99" i="2"/>
  <c r="T98" i="2"/>
  <c r="V98" i="2" s="1"/>
  <c r="W98" i="2" s="1"/>
  <c r="AN97" i="2"/>
  <c r="AF97" i="2"/>
  <c r="X96" i="2"/>
  <c r="Z96" i="2" s="1"/>
  <c r="AA96" i="2" s="1"/>
  <c r="P96" i="2"/>
  <c r="R96" i="2" s="1"/>
  <c r="S96" i="2" s="1"/>
  <c r="AN94" i="2"/>
  <c r="AF94" i="2"/>
  <c r="AI93" i="2"/>
  <c r="AK93" i="2" s="1"/>
  <c r="AL93" i="2" s="1"/>
  <c r="Y93" i="2"/>
  <c r="Q93" i="2"/>
  <c r="AN111" i="2"/>
  <c r="AF111" i="2"/>
  <c r="AI110" i="2"/>
  <c r="AK110" i="2" s="1"/>
  <c r="AL110" i="2" s="1"/>
  <c r="Y110" i="2"/>
  <c r="Q110" i="2"/>
  <c r="T109" i="2"/>
  <c r="V109" i="2" s="1"/>
  <c r="W109" i="2" s="1"/>
  <c r="AI107" i="2"/>
  <c r="AK107" i="2" s="1"/>
  <c r="AL107" i="2" s="1"/>
  <c r="Y107" i="2"/>
  <c r="Q107" i="2"/>
  <c r="AM105" i="2"/>
  <c r="AO105" i="2" s="1"/>
  <c r="AP105" i="2" s="1"/>
  <c r="AE105" i="2"/>
  <c r="AG105" i="2" s="1"/>
  <c r="AH105" i="2" s="1"/>
  <c r="U105" i="2"/>
  <c r="AI103" i="2"/>
  <c r="AK103" i="2" s="1"/>
  <c r="AL103" i="2" s="1"/>
  <c r="Y103" i="2"/>
  <c r="Q103" i="2"/>
  <c r="AM101" i="2"/>
  <c r="AO101" i="2" s="1"/>
  <c r="AP101" i="2" s="1"/>
  <c r="AE101" i="2"/>
  <c r="AG101" i="2" s="1"/>
  <c r="AH101" i="2" s="1"/>
  <c r="U101" i="2"/>
  <c r="AI99" i="2"/>
  <c r="AK99" i="2" s="1"/>
  <c r="AL99" i="2" s="1"/>
  <c r="Y99" i="2"/>
  <c r="Q99" i="2"/>
  <c r="AM97" i="2"/>
  <c r="AO97" i="2" s="1"/>
  <c r="AP97" i="2" s="1"/>
  <c r="AE97" i="2"/>
  <c r="AG97" i="2" s="1"/>
  <c r="AH97" i="2" s="1"/>
  <c r="U97" i="2"/>
  <c r="AJ95" i="2"/>
  <c r="AM94" i="2"/>
  <c r="AO94" i="2" s="1"/>
  <c r="AP94" i="2" s="1"/>
  <c r="AE94" i="2"/>
  <c r="AG94" i="2" s="1"/>
  <c r="AH94" i="2" s="1"/>
  <c r="U94" i="2"/>
  <c r="X93" i="2"/>
  <c r="Z93" i="2" s="1"/>
  <c r="AA93" i="2" s="1"/>
  <c r="P93" i="2"/>
  <c r="R93" i="2" s="1"/>
  <c r="S93" i="2" s="1"/>
  <c r="AN91" i="2"/>
  <c r="AF91" i="2"/>
  <c r="X90" i="2"/>
  <c r="Z90" i="2" s="1"/>
  <c r="AA90" i="2" s="1"/>
  <c r="P90" i="2"/>
  <c r="R90" i="2" s="1"/>
  <c r="S90" i="2" s="1"/>
  <c r="AJ89" i="2"/>
  <c r="AM111" i="2"/>
  <c r="AO111" i="2" s="1"/>
  <c r="AP111" i="2" s="1"/>
  <c r="AE111" i="2"/>
  <c r="AG111" i="2" s="1"/>
  <c r="AH111" i="2" s="1"/>
  <c r="U111" i="2"/>
  <c r="X110" i="2"/>
  <c r="Z110" i="2" s="1"/>
  <c r="AA110" i="2" s="1"/>
  <c r="P110" i="2"/>
  <c r="R110" i="2" s="1"/>
  <c r="S110" i="2" s="1"/>
  <c r="AN108" i="2"/>
  <c r="AF108" i="2"/>
  <c r="X107" i="2"/>
  <c r="Z107" i="2" s="1"/>
  <c r="AA107" i="2" s="1"/>
  <c r="P107" i="2"/>
  <c r="R107" i="2" s="1"/>
  <c r="S107" i="2" s="1"/>
  <c r="AJ106" i="2"/>
  <c r="T105" i="2"/>
  <c r="V105" i="2" s="1"/>
  <c r="W105" i="2" s="1"/>
  <c r="AN104" i="2"/>
  <c r="AF104" i="2"/>
  <c r="X103" i="2"/>
  <c r="Z103" i="2" s="1"/>
  <c r="AA103" i="2" s="1"/>
  <c r="P103" i="2"/>
  <c r="R103" i="2" s="1"/>
  <c r="S103" i="2" s="1"/>
  <c r="AJ102" i="2"/>
  <c r="T101" i="2"/>
  <c r="V101" i="2" s="1"/>
  <c r="W101" i="2" s="1"/>
  <c r="AN110" i="2"/>
  <c r="AF110" i="2"/>
  <c r="AI109" i="2"/>
  <c r="AK109" i="2" s="1"/>
  <c r="AL109" i="2" s="1"/>
  <c r="Y109" i="2"/>
  <c r="Q109" i="2"/>
  <c r="T108" i="2"/>
  <c r="V108" i="2" s="1"/>
  <c r="W108" i="2" s="1"/>
  <c r="AN107" i="2"/>
  <c r="AF107" i="2"/>
  <c r="X106" i="2"/>
  <c r="Z106" i="2" s="1"/>
  <c r="AA106" i="2" s="1"/>
  <c r="P106" i="2"/>
  <c r="R106" i="2" s="1"/>
  <c r="S106" i="2" s="1"/>
  <c r="AJ105" i="2"/>
  <c r="T104" i="2"/>
  <c r="V104" i="2" s="1"/>
  <c r="W104" i="2" s="1"/>
  <c r="AN103" i="2"/>
  <c r="AF103" i="2"/>
  <c r="X102" i="2"/>
  <c r="Z102" i="2" s="1"/>
  <c r="AA102" i="2" s="1"/>
  <c r="P102" i="2"/>
  <c r="R102" i="2" s="1"/>
  <c r="S102" i="2" s="1"/>
  <c r="AJ101" i="2"/>
  <c r="T100" i="2"/>
  <c r="V100" i="2" s="1"/>
  <c r="W100" i="2" s="1"/>
  <c r="AN99" i="2"/>
  <c r="AF99" i="2"/>
  <c r="X98" i="2"/>
  <c r="Z98" i="2" s="1"/>
  <c r="AA98" i="2" s="1"/>
  <c r="P98" i="2"/>
  <c r="R98" i="2" s="1"/>
  <c r="S98" i="2" s="1"/>
  <c r="AJ97" i="2"/>
  <c r="T96" i="2"/>
  <c r="V96" i="2" s="1"/>
  <c r="W96" i="2" s="1"/>
  <c r="AJ94" i="2"/>
  <c r="AM93" i="2"/>
  <c r="AO93" i="2" s="1"/>
  <c r="AP93" i="2" s="1"/>
  <c r="AE93" i="2"/>
  <c r="AG93" i="2" s="1"/>
  <c r="AH93" i="2" s="1"/>
  <c r="U93" i="2"/>
  <c r="X92" i="2"/>
  <c r="Z92" i="2" s="1"/>
  <c r="AA92" i="2" s="1"/>
  <c r="P92" i="2"/>
  <c r="R92" i="2" s="1"/>
  <c r="S92" i="2" s="1"/>
  <c r="AM90" i="2"/>
  <c r="AO90" i="2" s="1"/>
  <c r="AP90" i="2" s="1"/>
  <c r="AE90" i="2"/>
  <c r="AG90" i="2" s="1"/>
  <c r="AH90" i="2" s="1"/>
  <c r="U90" i="2"/>
  <c r="AI111" i="2"/>
  <c r="AK111" i="2" s="1"/>
  <c r="AL111" i="2" s="1"/>
  <c r="T110" i="2"/>
  <c r="V110" i="2" s="1"/>
  <c r="W110" i="2" s="1"/>
  <c r="T107" i="2"/>
  <c r="V107" i="2" s="1"/>
  <c r="W107" i="2" s="1"/>
  <c r="AJ104" i="2"/>
  <c r="AM103" i="2"/>
  <c r="AO103" i="2" s="1"/>
  <c r="AP103" i="2" s="1"/>
  <c r="Y101" i="2"/>
  <c r="AJ100" i="2"/>
  <c r="AN98" i="2"/>
  <c r="AM95" i="2"/>
  <c r="AO95" i="2" s="1"/>
  <c r="AP95" i="2" s="1"/>
  <c r="X95" i="2"/>
  <c r="Z95" i="2" s="1"/>
  <c r="AA95" i="2" s="1"/>
  <c r="Y94" i="2"/>
  <c r="AM110" i="2"/>
  <c r="AO110" i="2" s="1"/>
  <c r="AP110" i="2" s="1"/>
  <c r="X109" i="2"/>
  <c r="Z109" i="2" s="1"/>
  <c r="AA109" i="2" s="1"/>
  <c r="AJ108" i="2"/>
  <c r="AM107" i="2"/>
  <c r="AO107" i="2" s="1"/>
  <c r="AP107" i="2" s="1"/>
  <c r="Y105" i="2"/>
  <c r="AE104" i="2"/>
  <c r="AG104" i="2" s="1"/>
  <c r="AH104" i="2" s="1"/>
  <c r="Q102" i="2"/>
  <c r="X101" i="2"/>
  <c r="Z101" i="2" s="1"/>
  <c r="AA101" i="2" s="1"/>
  <c r="AF100" i="2"/>
  <c r="X99" i="2"/>
  <c r="Z99" i="2" s="1"/>
  <c r="AA99" i="2" s="1"/>
  <c r="AJ98" i="2"/>
  <c r="U98" i="2"/>
  <c r="AI97" i="2"/>
  <c r="AK97" i="2" s="1"/>
  <c r="AL97" i="2" s="1"/>
  <c r="T97" i="2"/>
  <c r="V97" i="2" s="1"/>
  <c r="W97" i="2" s="1"/>
  <c r="AJ96" i="2"/>
  <c r="U96" i="2"/>
  <c r="X94" i="2"/>
  <c r="Z94" i="2" s="1"/>
  <c r="AA94" i="2" s="1"/>
  <c r="AN93" i="2"/>
  <c r="AE92" i="2"/>
  <c r="AG92" i="2" s="1"/>
  <c r="AH92" i="2" s="1"/>
  <c r="AJ91" i="2"/>
  <c r="X91" i="2"/>
  <c r="Z91" i="2" s="1"/>
  <c r="AA91" i="2" s="1"/>
  <c r="AI89" i="2"/>
  <c r="AK89" i="2" s="1"/>
  <c r="AL89" i="2" s="1"/>
  <c r="Y89" i="2"/>
  <c r="Q89" i="2"/>
  <c r="AM87" i="2"/>
  <c r="AO87" i="2" s="1"/>
  <c r="AP87" i="2" s="1"/>
  <c r="AE87" i="2"/>
  <c r="AG87" i="2" s="1"/>
  <c r="AH87" i="2" s="1"/>
  <c r="U87" i="2"/>
  <c r="AI85" i="2"/>
  <c r="AK85" i="2" s="1"/>
  <c r="AL85" i="2" s="1"/>
  <c r="Y85" i="2"/>
  <c r="Q85" i="2"/>
  <c r="AM83" i="2"/>
  <c r="AO83" i="2" s="1"/>
  <c r="AP83" i="2" s="1"/>
  <c r="AE83" i="2"/>
  <c r="AG83" i="2" s="1"/>
  <c r="AH83" i="2" s="1"/>
  <c r="U83" i="2"/>
  <c r="AI81" i="2"/>
  <c r="AK81" i="2" s="1"/>
  <c r="AL81" i="2" s="1"/>
  <c r="Y81" i="2"/>
  <c r="Q81" i="2"/>
  <c r="AM79" i="2"/>
  <c r="AO79" i="2" s="1"/>
  <c r="AP79" i="2" s="1"/>
  <c r="AE79" i="2"/>
  <c r="AG79" i="2" s="1"/>
  <c r="AH79" i="2" s="1"/>
  <c r="U79" i="2"/>
  <c r="X78" i="2"/>
  <c r="Z78" i="2" s="1"/>
  <c r="AA78" i="2" s="1"/>
  <c r="P78" i="2"/>
  <c r="R78" i="2" s="1"/>
  <c r="S78" i="2" s="1"/>
  <c r="AN76" i="2"/>
  <c r="AF76" i="2"/>
  <c r="AI75" i="2"/>
  <c r="AK75" i="2" s="1"/>
  <c r="AL75" i="2" s="1"/>
  <c r="Y75" i="2"/>
  <c r="Q75" i="2"/>
  <c r="T74" i="2"/>
  <c r="V74" i="2" s="1"/>
  <c r="W74" i="2" s="1"/>
  <c r="AJ72" i="2"/>
  <c r="AM71" i="2"/>
  <c r="AO71" i="2" s="1"/>
  <c r="AP71" i="2" s="1"/>
  <c r="AE71" i="2"/>
  <c r="AG71" i="2" s="1"/>
  <c r="AH71" i="2" s="1"/>
  <c r="U71" i="2"/>
  <c r="X70" i="2"/>
  <c r="Z70" i="2" s="1"/>
  <c r="AA70" i="2" s="1"/>
  <c r="P70" i="2"/>
  <c r="R70" i="2" s="1"/>
  <c r="S70" i="2" s="1"/>
  <c r="AN68" i="2"/>
  <c r="AF68" i="2"/>
  <c r="X67" i="2"/>
  <c r="Z67" i="2" s="1"/>
  <c r="AA67" i="2" s="1"/>
  <c r="P67" i="2"/>
  <c r="R67" i="2" s="1"/>
  <c r="S67" i="2" s="1"/>
  <c r="AJ66" i="2"/>
  <c r="T65" i="2"/>
  <c r="V65" i="2" s="1"/>
  <c r="W65" i="2" s="1"/>
  <c r="AN64" i="2"/>
  <c r="AF64" i="2"/>
  <c r="Y111" i="2"/>
  <c r="AN106" i="2"/>
  <c r="AE103" i="2"/>
  <c r="AG103" i="2" s="1"/>
  <c r="AH103" i="2" s="1"/>
  <c r="AI102" i="2"/>
  <c r="AK102" i="2" s="1"/>
  <c r="AL102" i="2" s="1"/>
  <c r="Q101" i="2"/>
  <c r="AM99" i="2"/>
  <c r="AO99" i="2" s="1"/>
  <c r="AP99" i="2" s="1"/>
  <c r="U99" i="2"/>
  <c r="Q98" i="2"/>
  <c r="Q97" i="2"/>
  <c r="AF96" i="2"/>
  <c r="T95" i="2"/>
  <c r="V95" i="2" s="1"/>
  <c r="W95" i="2" s="1"/>
  <c r="AI94" i="2"/>
  <c r="AK94" i="2" s="1"/>
  <c r="AL94" i="2" s="1"/>
  <c r="T94" i="2"/>
  <c r="V94" i="2" s="1"/>
  <c r="W94" i="2" s="1"/>
  <c r="AM92" i="2"/>
  <c r="AO92" i="2" s="1"/>
  <c r="AP92" i="2" s="1"/>
  <c r="U91" i="2"/>
  <c r="AI88" i="2"/>
  <c r="AK88" i="2" s="1"/>
  <c r="AL88" i="2" s="1"/>
  <c r="Y88" i="2"/>
  <c r="Q88" i="2"/>
  <c r="AM86" i="2"/>
  <c r="AO86" i="2" s="1"/>
  <c r="AP86" i="2" s="1"/>
  <c r="AE86" i="2"/>
  <c r="AG86" i="2" s="1"/>
  <c r="AH86" i="2" s="1"/>
  <c r="U86" i="2"/>
  <c r="AI84" i="2"/>
  <c r="AK84" i="2" s="1"/>
  <c r="AL84" i="2" s="1"/>
  <c r="Y84" i="2"/>
  <c r="Q84" i="2"/>
  <c r="AM82" i="2"/>
  <c r="AO82" i="2" s="1"/>
  <c r="AP82" i="2" s="1"/>
  <c r="AE82" i="2"/>
  <c r="AG82" i="2" s="1"/>
  <c r="AH82" i="2" s="1"/>
  <c r="U82" i="2"/>
  <c r="AI80" i="2"/>
  <c r="AK80" i="2" s="1"/>
  <c r="AL80" i="2" s="1"/>
  <c r="Y80" i="2"/>
  <c r="Q80" i="2"/>
  <c r="AN78" i="2"/>
  <c r="AF78" i="2"/>
  <c r="AI77" i="2"/>
  <c r="AK77" i="2" s="1"/>
  <c r="AL77" i="2" s="1"/>
  <c r="Y77" i="2"/>
  <c r="Q77" i="2"/>
  <c r="T76" i="2"/>
  <c r="V76" i="2" s="1"/>
  <c r="W76" i="2" s="1"/>
  <c r="AJ74" i="2"/>
  <c r="AM73" i="2"/>
  <c r="AO73" i="2" s="1"/>
  <c r="AP73" i="2" s="1"/>
  <c r="AE73" i="2"/>
  <c r="AG73" i="2" s="1"/>
  <c r="AH73" i="2" s="1"/>
  <c r="U73" i="2"/>
  <c r="X72" i="2"/>
  <c r="Z72" i="2" s="1"/>
  <c r="AA72" i="2" s="1"/>
  <c r="P72" i="2"/>
  <c r="R72" i="2" s="1"/>
  <c r="S72" i="2" s="1"/>
  <c r="AN70" i="2"/>
  <c r="AF70" i="2"/>
  <c r="AI69" i="2"/>
  <c r="AK69" i="2" s="1"/>
  <c r="AL69" i="2" s="1"/>
  <c r="Y69" i="2"/>
  <c r="Q69" i="2"/>
  <c r="T68" i="2"/>
  <c r="V68" i="2" s="1"/>
  <c r="W68" i="2" s="1"/>
  <c r="AN67" i="2"/>
  <c r="AF67" i="2"/>
  <c r="X66" i="2"/>
  <c r="Z66" i="2" s="1"/>
  <c r="AA66" i="2" s="1"/>
  <c r="P66" i="2"/>
  <c r="R66" i="2" s="1"/>
  <c r="S66" i="2" s="1"/>
  <c r="AJ65" i="2"/>
  <c r="T64" i="2"/>
  <c r="V64" i="2" s="1"/>
  <c r="W64" i="2" s="1"/>
  <c r="AN63" i="2"/>
  <c r="AF63" i="2"/>
  <c r="AI62" i="2"/>
  <c r="AK62" i="2" s="1"/>
  <c r="AL62" i="2" s="1"/>
  <c r="Y62" i="2"/>
  <c r="Q62" i="2"/>
  <c r="T61" i="2"/>
  <c r="V61" i="2" s="1"/>
  <c r="W61" i="2" s="1"/>
  <c r="Q111" i="2"/>
  <c r="AF106" i="2"/>
  <c r="AI105" i="2"/>
  <c r="AK105" i="2" s="1"/>
  <c r="AL105" i="2" s="1"/>
  <c r="AM104" i="2"/>
  <c r="AO104" i="2" s="1"/>
  <c r="AP104" i="2" s="1"/>
  <c r="U103" i="2"/>
  <c r="Y102" i="2"/>
  <c r="AM100" i="2"/>
  <c r="AO100" i="2" s="1"/>
  <c r="AP100" i="2" s="1"/>
  <c r="U100" i="2"/>
  <c r="Y98" i="2"/>
  <c r="Y97" i="2"/>
  <c r="AN96" i="2"/>
  <c r="P94" i="2"/>
  <c r="R94" i="2" s="1"/>
  <c r="S94" i="2" s="1"/>
  <c r="AF93" i="2"/>
  <c r="AI92" i="2"/>
  <c r="AK92" i="2" s="1"/>
  <c r="AL92" i="2" s="1"/>
  <c r="Q91" i="2"/>
  <c r="AI90" i="2"/>
  <c r="AK90" i="2" s="1"/>
  <c r="AL90" i="2" s="1"/>
  <c r="AM89" i="2"/>
  <c r="AO89" i="2" s="1"/>
  <c r="AP89" i="2" s="1"/>
  <c r="T89" i="2"/>
  <c r="V89" i="2" s="1"/>
  <c r="W89" i="2" s="1"/>
  <c r="AN88" i="2"/>
  <c r="AF88" i="2"/>
  <c r="X87" i="2"/>
  <c r="Z87" i="2" s="1"/>
  <c r="AA87" i="2" s="1"/>
  <c r="P87" i="2"/>
  <c r="R87" i="2" s="1"/>
  <c r="S87" i="2" s="1"/>
  <c r="AJ86" i="2"/>
  <c r="T85" i="2"/>
  <c r="V85" i="2" s="1"/>
  <c r="W85" i="2" s="1"/>
  <c r="AN84" i="2"/>
  <c r="AF84" i="2"/>
  <c r="X83" i="2"/>
  <c r="Z83" i="2" s="1"/>
  <c r="AA83" i="2" s="1"/>
  <c r="P83" i="2"/>
  <c r="R83" i="2" s="1"/>
  <c r="S83" i="2" s="1"/>
  <c r="AJ82" i="2"/>
  <c r="T81" i="2"/>
  <c r="V81" i="2" s="1"/>
  <c r="W81" i="2" s="1"/>
  <c r="AN80" i="2"/>
  <c r="AF80" i="2"/>
  <c r="X79" i="2"/>
  <c r="Z79" i="2" s="1"/>
  <c r="AA79" i="2" s="1"/>
  <c r="P79" i="2"/>
  <c r="R79" i="2" s="1"/>
  <c r="S79" i="2" s="1"/>
  <c r="AN77" i="2"/>
  <c r="AF77" i="2"/>
  <c r="AI76" i="2"/>
  <c r="AK76" i="2" s="1"/>
  <c r="AL76" i="2" s="1"/>
  <c r="Y76" i="2"/>
  <c r="Q76" i="2"/>
  <c r="T75" i="2"/>
  <c r="V75" i="2" s="1"/>
  <c r="W75" i="2" s="1"/>
  <c r="AJ73" i="2"/>
  <c r="AM72" i="2"/>
  <c r="AO72" i="2" s="1"/>
  <c r="AP72" i="2" s="1"/>
  <c r="AE72" i="2"/>
  <c r="AG72" i="2" s="1"/>
  <c r="AH72" i="2" s="1"/>
  <c r="U72" i="2"/>
  <c r="X71" i="2"/>
  <c r="Z71" i="2" s="1"/>
  <c r="AA71" i="2" s="1"/>
  <c r="P71" i="2"/>
  <c r="R71" i="2" s="1"/>
  <c r="S71" i="2" s="1"/>
  <c r="AN69" i="2"/>
  <c r="AF69" i="2"/>
  <c r="AI68" i="2"/>
  <c r="AK68" i="2" s="1"/>
  <c r="AL68" i="2" s="1"/>
  <c r="Y68" i="2"/>
  <c r="Q68" i="2"/>
  <c r="AM66" i="2"/>
  <c r="AO66" i="2" s="1"/>
  <c r="AP66" i="2" s="1"/>
  <c r="AE66" i="2"/>
  <c r="AG66" i="2" s="1"/>
  <c r="AH66" i="2" s="1"/>
  <c r="U66" i="2"/>
  <c r="AI64" i="2"/>
  <c r="AK64" i="2" s="1"/>
  <c r="AL64" i="2" s="1"/>
  <c r="Y64" i="2"/>
  <c r="Q64" i="2"/>
  <c r="AN62" i="2"/>
  <c r="AF62" i="2"/>
  <c r="AI61" i="2"/>
  <c r="AK61" i="2" s="1"/>
  <c r="AL61" i="2" s="1"/>
  <c r="Y61" i="2"/>
  <c r="Q61" i="2"/>
  <c r="AJ109" i="2"/>
  <c r="AI106" i="2"/>
  <c r="AK106" i="2" s="1"/>
  <c r="AL106" i="2" s="1"/>
  <c r="Q105" i="2"/>
  <c r="T99" i="2"/>
  <c r="V99" i="2" s="1"/>
  <c r="W99" i="2" s="1"/>
  <c r="P97" i="2"/>
  <c r="R97" i="2" s="1"/>
  <c r="S97" i="2" s="1"/>
  <c r="Q96" i="2"/>
  <c r="Q95" i="2"/>
  <c r="AJ92" i="2"/>
  <c r="Q92" i="2"/>
  <c r="AE89" i="2"/>
  <c r="AG89" i="2" s="1"/>
  <c r="AH89" i="2" s="1"/>
  <c r="P89" i="2"/>
  <c r="R89" i="2" s="1"/>
  <c r="S89" i="2" s="1"/>
  <c r="AE88" i="2"/>
  <c r="AG88" i="2" s="1"/>
  <c r="AH88" i="2" s="1"/>
  <c r="P88" i="2"/>
  <c r="R88" i="2" s="1"/>
  <c r="S88" i="2" s="1"/>
  <c r="AF87" i="2"/>
  <c r="Q87" i="2"/>
  <c r="AF86" i="2"/>
  <c r="Q86" i="2"/>
  <c r="AF85" i="2"/>
  <c r="T80" i="2"/>
  <c r="V80" i="2" s="1"/>
  <c r="W80" i="2" s="1"/>
  <c r="AI79" i="2"/>
  <c r="AK79" i="2" s="1"/>
  <c r="AL79" i="2" s="1"/>
  <c r="T79" i="2"/>
  <c r="V79" i="2" s="1"/>
  <c r="W79" i="2" s="1"/>
  <c r="AJ78" i="2"/>
  <c r="U78" i="2"/>
  <c r="AM77" i="2"/>
  <c r="AO77" i="2" s="1"/>
  <c r="AP77" i="2" s="1"/>
  <c r="X77" i="2"/>
  <c r="Z77" i="2" s="1"/>
  <c r="AA77" i="2" s="1"/>
  <c r="AE75" i="2"/>
  <c r="AG75" i="2" s="1"/>
  <c r="AH75" i="2" s="1"/>
  <c r="P75" i="2"/>
  <c r="R75" i="2" s="1"/>
  <c r="S75" i="2" s="1"/>
  <c r="AF74" i="2"/>
  <c r="Q74" i="2"/>
  <c r="AI72" i="2"/>
  <c r="AK72" i="2" s="1"/>
  <c r="AL72" i="2" s="1"/>
  <c r="T72" i="2"/>
  <c r="V72" i="2" s="1"/>
  <c r="W72" i="2" s="1"/>
  <c r="AJ71" i="2"/>
  <c r="AM69" i="2"/>
  <c r="AO69" i="2" s="1"/>
  <c r="AP69" i="2" s="1"/>
  <c r="X69" i="2"/>
  <c r="Z69" i="2" s="1"/>
  <c r="AA69" i="2" s="1"/>
  <c r="AE63" i="2"/>
  <c r="AG63" i="2" s="1"/>
  <c r="AH63" i="2" s="1"/>
  <c r="X62" i="2"/>
  <c r="Z62" i="2" s="1"/>
  <c r="AA62" i="2" s="1"/>
  <c r="AF61" i="2"/>
  <c r="U108" i="2"/>
  <c r="P105" i="2"/>
  <c r="R105" i="2" s="1"/>
  <c r="S105" i="2" s="1"/>
  <c r="AI101" i="2"/>
  <c r="AK101" i="2" s="1"/>
  <c r="AL101" i="2" s="1"/>
  <c r="P99" i="2"/>
  <c r="R99" i="2" s="1"/>
  <c r="S99" i="2" s="1"/>
  <c r="P95" i="2"/>
  <c r="R95" i="2" s="1"/>
  <c r="S95" i="2" s="1"/>
  <c r="Y91" i="2"/>
  <c r="AJ90" i="2"/>
  <c r="Q90" i="2"/>
  <c r="P86" i="2"/>
  <c r="R86" i="2" s="1"/>
  <c r="S86" i="2" s="1"/>
  <c r="AE85" i="2"/>
  <c r="AG85" i="2" s="1"/>
  <c r="AH85" i="2" s="1"/>
  <c r="P85" i="2"/>
  <c r="R85" i="2" s="1"/>
  <c r="S85" i="2" s="1"/>
  <c r="AE84" i="2"/>
  <c r="AG84" i="2" s="1"/>
  <c r="AH84" i="2" s="1"/>
  <c r="P84" i="2"/>
  <c r="R84" i="2" s="1"/>
  <c r="S84" i="2" s="1"/>
  <c r="AF83" i="2"/>
  <c r="Q83" i="2"/>
  <c r="AF82" i="2"/>
  <c r="Q82" i="2"/>
  <c r="AF81" i="2"/>
  <c r="AI78" i="2"/>
  <c r="AK78" i="2" s="1"/>
  <c r="AL78" i="2" s="1"/>
  <c r="T78" i="2"/>
  <c r="V78" i="2" s="1"/>
  <c r="W78" i="2" s="1"/>
  <c r="AM76" i="2"/>
  <c r="AO76" i="2" s="1"/>
  <c r="AP76" i="2" s="1"/>
  <c r="X76" i="2"/>
  <c r="Z76" i="2" s="1"/>
  <c r="AA76" i="2" s="1"/>
  <c r="AE74" i="2"/>
  <c r="AG74" i="2" s="1"/>
  <c r="AH74" i="2" s="1"/>
  <c r="P74" i="2"/>
  <c r="R74" i="2" s="1"/>
  <c r="S74" i="2" s="1"/>
  <c r="AF73" i="2"/>
  <c r="Q73" i="2"/>
  <c r="AI71" i="2"/>
  <c r="AK71" i="2" s="1"/>
  <c r="AL71" i="2" s="1"/>
  <c r="T71" i="2"/>
  <c r="V71" i="2" s="1"/>
  <c r="W71" i="2" s="1"/>
  <c r="AJ70" i="2"/>
  <c r="U70" i="2"/>
  <c r="AM68" i="2"/>
  <c r="AO68" i="2" s="1"/>
  <c r="AP68" i="2" s="1"/>
  <c r="X68" i="2"/>
  <c r="Z68" i="2" s="1"/>
  <c r="AA68" i="2" s="1"/>
  <c r="AM67" i="2"/>
  <c r="AO67" i="2" s="1"/>
  <c r="AP67" i="2" s="1"/>
  <c r="Y67" i="2"/>
  <c r="AN66" i="2"/>
  <c r="Y66" i="2"/>
  <c r="AN65" i="2"/>
  <c r="Y65" i="2"/>
  <c r="Q63" i="2"/>
  <c r="AJ62" i="2"/>
  <c r="AE61" i="2"/>
  <c r="AG61" i="2" s="1"/>
  <c r="AH61" i="2" s="1"/>
  <c r="Y106" i="2"/>
  <c r="T103" i="2"/>
  <c r="V103" i="2" s="1"/>
  <c r="W103" i="2" s="1"/>
  <c r="AM96" i="2"/>
  <c r="AO96" i="2" s="1"/>
  <c r="AP96" i="2" s="1"/>
  <c r="AN95" i="2"/>
  <c r="Q94" i="2"/>
  <c r="T93" i="2"/>
  <c r="V93" i="2" s="1"/>
  <c r="W93" i="2" s="1"/>
  <c r="AF92" i="2"/>
  <c r="P82" i="2"/>
  <c r="R82" i="2" s="1"/>
  <c r="S82" i="2" s="1"/>
  <c r="AE81" i="2"/>
  <c r="AG81" i="2" s="1"/>
  <c r="AH81" i="2" s="1"/>
  <c r="P81" i="2"/>
  <c r="R81" i="2" s="1"/>
  <c r="S81" i="2" s="1"/>
  <c r="AE80" i="2"/>
  <c r="AG80" i="2" s="1"/>
  <c r="AH80" i="2" s="1"/>
  <c r="P80" i="2"/>
  <c r="R80" i="2" s="1"/>
  <c r="S80" i="2" s="1"/>
  <c r="AF79" i="2"/>
  <c r="Q79" i="2"/>
  <c r="AJ77" i="2"/>
  <c r="U77" i="2"/>
  <c r="AN75" i="2"/>
  <c r="P73" i="2"/>
  <c r="R73" i="2" s="1"/>
  <c r="S73" i="2" s="1"/>
  <c r="AF72" i="2"/>
  <c r="Q72" i="2"/>
  <c r="AI70" i="2"/>
  <c r="AK70" i="2" s="1"/>
  <c r="AL70" i="2" s="1"/>
  <c r="T70" i="2"/>
  <c r="V70" i="2" s="1"/>
  <c r="W70" i="2" s="1"/>
  <c r="AJ69" i="2"/>
  <c r="U69" i="2"/>
  <c r="AM65" i="2"/>
  <c r="AO65" i="2" s="1"/>
  <c r="AP65" i="2" s="1"/>
  <c r="X65" i="2"/>
  <c r="Z65" i="2" s="1"/>
  <c r="AA65" i="2" s="1"/>
  <c r="AM64" i="2"/>
  <c r="AO64" i="2" s="1"/>
  <c r="AP64" i="2" s="1"/>
  <c r="X64" i="2"/>
  <c r="Z64" i="2" s="1"/>
  <c r="AA64" i="2" s="1"/>
  <c r="AM63" i="2"/>
  <c r="AO63" i="2" s="1"/>
  <c r="AP63" i="2" s="1"/>
  <c r="P63" i="2"/>
  <c r="R63" i="2" s="1"/>
  <c r="S63" i="2" s="1"/>
  <c r="U62" i="2"/>
  <c r="AN61" i="2"/>
  <c r="P61" i="2"/>
  <c r="R61" i="2" s="1"/>
  <c r="S61" i="2" s="1"/>
  <c r="AE110" i="2"/>
  <c r="AG110" i="2" s="1"/>
  <c r="AH110" i="2" s="1"/>
  <c r="P109" i="2"/>
  <c r="R109" i="2" s="1"/>
  <c r="S109" i="2" s="1"/>
  <c r="Q106" i="2"/>
  <c r="AN102" i="2"/>
  <c r="AI98" i="2"/>
  <c r="AK98" i="2" s="1"/>
  <c r="AL98" i="2" s="1"/>
  <c r="AI96" i="2"/>
  <c r="AK96" i="2" s="1"/>
  <c r="AL96" i="2" s="1"/>
  <c r="AI95" i="2"/>
  <c r="AK95" i="2" s="1"/>
  <c r="AL95" i="2" s="1"/>
  <c r="AM91" i="2"/>
  <c r="AO91" i="2" s="1"/>
  <c r="AP91" i="2" s="1"/>
  <c r="T91" i="2"/>
  <c r="V91" i="2" s="1"/>
  <c r="W91" i="2" s="1"/>
  <c r="AF90" i="2"/>
  <c r="AN89" i="2"/>
  <c r="X89" i="2"/>
  <c r="Z89" i="2" s="1"/>
  <c r="AA89" i="2" s="1"/>
  <c r="AM88" i="2"/>
  <c r="AO88" i="2" s="1"/>
  <c r="AP88" i="2" s="1"/>
  <c r="X88" i="2"/>
  <c r="Z88" i="2" s="1"/>
  <c r="AA88" i="2" s="1"/>
  <c r="AN87" i="2"/>
  <c r="Y87" i="2"/>
  <c r="AN86" i="2"/>
  <c r="Y86" i="2"/>
  <c r="AN85" i="2"/>
  <c r="AE78" i="2"/>
  <c r="AG78" i="2" s="1"/>
  <c r="AH78" i="2" s="1"/>
  <c r="Q78" i="2"/>
  <c r="T77" i="2"/>
  <c r="V77" i="2" s="1"/>
  <c r="W77" i="2" s="1"/>
  <c r="AJ76" i="2"/>
  <c r="U76" i="2"/>
  <c r="AM75" i="2"/>
  <c r="AO75" i="2" s="1"/>
  <c r="AP75" i="2" s="1"/>
  <c r="X75" i="2"/>
  <c r="Z75" i="2" s="1"/>
  <c r="AA75" i="2" s="1"/>
  <c r="AN74" i="2"/>
  <c r="Y74" i="2"/>
  <c r="AF71" i="2"/>
  <c r="Q71" i="2"/>
  <c r="T69" i="2"/>
  <c r="V69" i="2" s="1"/>
  <c r="W69" i="2" s="1"/>
  <c r="AJ68" i="2"/>
  <c r="U68" i="2"/>
  <c r="AJ67" i="2"/>
  <c r="U67" i="2"/>
  <c r="Y63" i="2"/>
  <c r="T62" i="2"/>
  <c r="V62" i="2" s="1"/>
  <c r="W62" i="2" s="1"/>
  <c r="AM61" i="2"/>
  <c r="AO61" i="2" s="1"/>
  <c r="AP61" i="2" s="1"/>
  <c r="AJ111" i="2"/>
  <c r="U110" i="2"/>
  <c r="AF102" i="2"/>
  <c r="AN100" i="2"/>
  <c r="AE95" i="2"/>
  <c r="AG95" i="2" s="1"/>
  <c r="AH95" i="2" s="1"/>
  <c r="AJ93" i="2"/>
  <c r="AI91" i="2"/>
  <c r="AK91" i="2" s="1"/>
  <c r="AL91" i="2" s="1"/>
  <c r="P91" i="2"/>
  <c r="R91" i="2" s="1"/>
  <c r="S91" i="2" s="1"/>
  <c r="Y90" i="2"/>
  <c r="U89" i="2"/>
  <c r="AJ88" i="2"/>
  <c r="U88" i="2"/>
  <c r="AJ87" i="2"/>
  <c r="X82" i="2"/>
  <c r="Z82" i="2" s="1"/>
  <c r="AA82" i="2" s="1"/>
  <c r="AM81" i="2"/>
  <c r="AO81" i="2" s="1"/>
  <c r="AP81" i="2" s="1"/>
  <c r="X81" i="2"/>
  <c r="Z81" i="2" s="1"/>
  <c r="AA81" i="2" s="1"/>
  <c r="AM80" i="2"/>
  <c r="AO80" i="2" s="1"/>
  <c r="AP80" i="2" s="1"/>
  <c r="X80" i="2"/>
  <c r="Z80" i="2" s="1"/>
  <c r="AA80" i="2" s="1"/>
  <c r="AN79" i="2"/>
  <c r="Y79" i="2"/>
  <c r="AE77" i="2"/>
  <c r="AG77" i="2" s="1"/>
  <c r="AH77" i="2" s="1"/>
  <c r="P77" i="2"/>
  <c r="R77" i="2" s="1"/>
  <c r="S77" i="2" s="1"/>
  <c r="AJ75" i="2"/>
  <c r="U75" i="2"/>
  <c r="X73" i="2"/>
  <c r="Z73" i="2" s="1"/>
  <c r="AA73" i="2" s="1"/>
  <c r="AN72" i="2"/>
  <c r="Y72" i="2"/>
  <c r="AE69" i="2"/>
  <c r="AG69" i="2" s="1"/>
  <c r="AH69" i="2" s="1"/>
  <c r="P69" i="2"/>
  <c r="R69" i="2" s="1"/>
  <c r="S69" i="2" s="1"/>
  <c r="AM108" i="2"/>
  <c r="AO108" i="2" s="1"/>
  <c r="AP108" i="2" s="1"/>
  <c r="U107" i="2"/>
  <c r="AE99" i="2"/>
  <c r="AG99" i="2" s="1"/>
  <c r="AH99" i="2" s="1"/>
  <c r="X97" i="2"/>
  <c r="Z97" i="2" s="1"/>
  <c r="AA97" i="2" s="1"/>
  <c r="Y96" i="2"/>
  <c r="Y95" i="2"/>
  <c r="AN92" i="2"/>
  <c r="U92" i="2"/>
  <c r="T88" i="2"/>
  <c r="V88" i="2" s="1"/>
  <c r="W88" i="2" s="1"/>
  <c r="AI87" i="2"/>
  <c r="AK87" i="2" s="1"/>
  <c r="AL87" i="2" s="1"/>
  <c r="T87" i="2"/>
  <c r="V87" i="2" s="1"/>
  <c r="W87" i="2" s="1"/>
  <c r="AI86" i="2"/>
  <c r="AK86" i="2" s="1"/>
  <c r="AL86" i="2" s="1"/>
  <c r="T86" i="2"/>
  <c r="V86" i="2" s="1"/>
  <c r="W86" i="2" s="1"/>
  <c r="AJ85" i="2"/>
  <c r="U85" i="2"/>
  <c r="AJ84" i="2"/>
  <c r="U84" i="2"/>
  <c r="AJ83" i="2"/>
  <c r="AM78" i="2"/>
  <c r="AO78" i="2" s="1"/>
  <c r="AP78" i="2" s="1"/>
  <c r="Y78" i="2"/>
  <c r="AE76" i="2"/>
  <c r="AG76" i="2" s="1"/>
  <c r="AH76" i="2" s="1"/>
  <c r="P76" i="2"/>
  <c r="R76" i="2" s="1"/>
  <c r="S76" i="2" s="1"/>
  <c r="AI74" i="2"/>
  <c r="AK74" i="2" s="1"/>
  <c r="AL74" i="2" s="1"/>
  <c r="U74" i="2"/>
  <c r="AN71" i="2"/>
  <c r="Y71" i="2"/>
  <c r="AE68" i="2"/>
  <c r="AG68" i="2" s="1"/>
  <c r="AH68" i="2" s="1"/>
  <c r="P68" i="2"/>
  <c r="R68" i="2" s="1"/>
  <c r="S68" i="2" s="1"/>
  <c r="AE67" i="2"/>
  <c r="AG67" i="2" s="1"/>
  <c r="AH67" i="2" s="1"/>
  <c r="Q67" i="2"/>
  <c r="AF66" i="2"/>
  <c r="Q66" i="2"/>
  <c r="AF65" i="2"/>
  <c r="Q65" i="2"/>
  <c r="U63" i="2"/>
  <c r="AM62" i="2"/>
  <c r="AO62" i="2" s="1"/>
  <c r="AP62" i="2" s="1"/>
  <c r="P62" i="2"/>
  <c r="R62" i="2" s="1"/>
  <c r="S62" i="2" s="1"/>
  <c r="T111" i="2"/>
  <c r="V111" i="2" s="1"/>
  <c r="W111" i="2" s="1"/>
  <c r="AE107" i="2"/>
  <c r="AG107" i="2" s="1"/>
  <c r="AH107" i="2" s="1"/>
  <c r="P101" i="2"/>
  <c r="R101" i="2" s="1"/>
  <c r="S101" i="2" s="1"/>
  <c r="AE96" i="2"/>
  <c r="AG96" i="2" s="1"/>
  <c r="AH96" i="2" s="1"/>
  <c r="AM84" i="2"/>
  <c r="AO84" i="2" s="1"/>
  <c r="AP84" i="2" s="1"/>
  <c r="AN82" i="2"/>
  <c r="AN73" i="2"/>
  <c r="Q70" i="2"/>
  <c r="T66" i="2"/>
  <c r="V66" i="2" s="1"/>
  <c r="W66" i="2" s="1"/>
  <c r="U64" i="2"/>
  <c r="AE100" i="2"/>
  <c r="AG100" i="2" s="1"/>
  <c r="AH100" i="2" s="1"/>
  <c r="AN90" i="2"/>
  <c r="AI82" i="2"/>
  <c r="AK82" i="2" s="1"/>
  <c r="AL82" i="2" s="1"/>
  <c r="AJ80" i="2"/>
  <c r="AF75" i="2"/>
  <c r="AI73" i="2"/>
  <c r="AK73" i="2" s="1"/>
  <c r="AL73" i="2" s="1"/>
  <c r="P64" i="2"/>
  <c r="R64" i="2" s="1"/>
  <c r="S64" i="2" s="1"/>
  <c r="AE64" i="2"/>
  <c r="AG64" i="2" s="1"/>
  <c r="AH64" i="2" s="1"/>
  <c r="AF95" i="2"/>
  <c r="X86" i="2"/>
  <c r="Z86" i="2" s="1"/>
  <c r="AA86" i="2" s="1"/>
  <c r="X84" i="2"/>
  <c r="Z84" i="2" s="1"/>
  <c r="AA84" i="2" s="1"/>
  <c r="Y82" i="2"/>
  <c r="Y73" i="2"/>
  <c r="AI67" i="2"/>
  <c r="AK67" i="2" s="1"/>
  <c r="AL67" i="2" s="1"/>
  <c r="AI65" i="2"/>
  <c r="AK65" i="2" s="1"/>
  <c r="AL65" i="2" s="1"/>
  <c r="AJ63" i="2"/>
  <c r="AJ61" i="2"/>
  <c r="X105" i="2"/>
  <c r="Z105" i="2" s="1"/>
  <c r="AA105" i="2" s="1"/>
  <c r="U95" i="2"/>
  <c r="Y92" i="2"/>
  <c r="T90" i="2"/>
  <c r="V90" i="2" s="1"/>
  <c r="W90" i="2" s="1"/>
  <c r="T84" i="2"/>
  <c r="V84" i="2" s="1"/>
  <c r="W84" i="2" s="1"/>
  <c r="T82" i="2"/>
  <c r="V82" i="2" s="1"/>
  <c r="W82" i="2" s="1"/>
  <c r="U80" i="2"/>
  <c r="T73" i="2"/>
  <c r="V73" i="2" s="1"/>
  <c r="W73" i="2" s="1"/>
  <c r="AE65" i="2"/>
  <c r="AG65" i="2" s="1"/>
  <c r="AH65" i="2" s="1"/>
  <c r="AI63" i="2"/>
  <c r="AK63" i="2" s="1"/>
  <c r="AL63" i="2" s="1"/>
  <c r="AE62" i="2"/>
  <c r="AG62" i="2" s="1"/>
  <c r="AH62" i="2" s="1"/>
  <c r="AE108" i="2"/>
  <c r="AG108" i="2" s="1"/>
  <c r="AH108" i="2" s="1"/>
  <c r="U81" i="2"/>
  <c r="Y70" i="2"/>
  <c r="T63" i="2"/>
  <c r="V63" i="2" s="1"/>
  <c r="W63" i="2" s="1"/>
  <c r="U104" i="2"/>
  <c r="AF98" i="2"/>
  <c r="T92" i="2"/>
  <c r="V92" i="2" s="1"/>
  <c r="W92" i="2" s="1"/>
  <c r="AM85" i="2"/>
  <c r="AO85" i="2" s="1"/>
  <c r="AP85" i="2" s="1"/>
  <c r="AN83" i="2"/>
  <c r="AN81" i="2"/>
  <c r="AM74" i="2"/>
  <c r="AO74" i="2" s="1"/>
  <c r="AP74" i="2" s="1"/>
  <c r="T67" i="2"/>
  <c r="V67" i="2" s="1"/>
  <c r="W67" i="2" s="1"/>
  <c r="U65" i="2"/>
  <c r="X61" i="2"/>
  <c r="Z61" i="2" s="1"/>
  <c r="AA61" i="2" s="1"/>
  <c r="AF89" i="2"/>
  <c r="AI83" i="2"/>
  <c r="AK83" i="2" s="1"/>
  <c r="AL83" i="2" s="1"/>
  <c r="AJ81" i="2"/>
  <c r="AJ79" i="2"/>
  <c r="AM70" i="2"/>
  <c r="AO70" i="2" s="1"/>
  <c r="AP70" i="2" s="1"/>
  <c r="P65" i="2"/>
  <c r="R65" i="2" s="1"/>
  <c r="S65" i="2" s="1"/>
  <c r="X63" i="2"/>
  <c r="Z63" i="2" s="1"/>
  <c r="AA63" i="2" s="1"/>
  <c r="X85" i="2"/>
  <c r="Z85" i="2" s="1"/>
  <c r="AA85" i="2" s="1"/>
  <c r="Y83" i="2"/>
  <c r="X74" i="2"/>
  <c r="Z74" i="2" s="1"/>
  <c r="AA74" i="2" s="1"/>
  <c r="AE70" i="2"/>
  <c r="AG70" i="2" s="1"/>
  <c r="AH70" i="2" s="1"/>
  <c r="AI66" i="2"/>
  <c r="AK66" i="2" s="1"/>
  <c r="AL66" i="2" s="1"/>
  <c r="AJ64" i="2"/>
  <c r="U61" i="2"/>
  <c r="B34" i="2"/>
  <c r="B31" i="1" s="1"/>
  <c r="B30" i="1"/>
  <c r="AE91" i="2"/>
  <c r="AG91" i="2" s="1"/>
  <c r="AH91" i="2" s="1"/>
  <c r="T83" i="2"/>
  <c r="V83" i="2" s="1"/>
  <c r="W83" i="2" s="1"/>
  <c r="AK41" i="2"/>
  <c r="AG41" i="2"/>
  <c r="Y41" i="2"/>
  <c r="Q41" i="2"/>
  <c r="AF41" i="2"/>
  <c r="AH41" i="2" s="1"/>
  <c r="AI41" i="2" s="1"/>
  <c r="X41" i="2"/>
  <c r="Z41" i="2" s="1"/>
  <c r="AA41" i="2" s="1"/>
  <c r="P41" i="2"/>
  <c r="R41" i="2" s="1"/>
  <c r="S41" i="2" s="1"/>
  <c r="AC41" i="2"/>
  <c r="U41" i="2"/>
  <c r="AB41" i="2"/>
  <c r="AD41" i="2" s="1"/>
  <c r="AE41" i="2" s="1"/>
  <c r="T41" i="2"/>
  <c r="V41" i="2" s="1"/>
  <c r="W41" i="2" s="1"/>
  <c r="AJ41" i="2"/>
  <c r="AL41" i="2" s="1"/>
  <c r="AM41" i="2" s="1"/>
  <c r="F15" i="6"/>
  <c r="E15" i="6"/>
  <c r="J15" i="6"/>
  <c r="J22" i="6"/>
  <c r="E22" i="6"/>
  <c r="F22" i="6"/>
  <c r="J14" i="6"/>
  <c r="E14" i="6"/>
  <c r="F14" i="6"/>
  <c r="I13" i="6"/>
  <c r="H13" i="6"/>
  <c r="I14" i="6"/>
  <c r="H14" i="6"/>
  <c r="F24" i="6"/>
  <c r="E24" i="6"/>
  <c r="J24" i="6"/>
  <c r="H55" i="6"/>
  <c r="I55" i="6"/>
  <c r="E11" i="6"/>
  <c r="J11" i="6"/>
  <c r="F11" i="6"/>
  <c r="I16" i="6"/>
  <c r="H16" i="6"/>
  <c r="J45" i="6"/>
  <c r="F45" i="6"/>
  <c r="E45" i="6"/>
  <c r="F50" i="6"/>
  <c r="E50" i="6"/>
  <c r="J50" i="6"/>
  <c r="I53" i="6"/>
  <c r="H53" i="6"/>
  <c r="F55" i="6"/>
  <c r="E55" i="6"/>
  <c r="J55" i="6"/>
  <c r="H58" i="6"/>
  <c r="I58" i="6"/>
  <c r="J60" i="6"/>
  <c r="F60" i="6"/>
  <c r="E60" i="6"/>
  <c r="AJ34" i="2"/>
  <c r="AL34" i="2" s="1"/>
  <c r="AM34" i="2" s="1"/>
  <c r="AB34" i="2"/>
  <c r="AD34" i="2" s="1"/>
  <c r="AE34" i="2" s="1"/>
  <c r="T34" i="2"/>
  <c r="V34" i="2" s="1"/>
  <c r="W34" i="2" s="1"/>
  <c r="AG34" i="2"/>
  <c r="Y34" i="2"/>
  <c r="Q34" i="2"/>
  <c r="AF34" i="2"/>
  <c r="AH34" i="2" s="1"/>
  <c r="AI34" i="2" s="1"/>
  <c r="X34" i="2"/>
  <c r="Z34" i="2" s="1"/>
  <c r="AA34" i="2" s="1"/>
  <c r="P34" i="2"/>
  <c r="R34" i="2" s="1"/>
  <c r="S34" i="2" s="1"/>
  <c r="AK34" i="2"/>
  <c r="AC34" i="2"/>
  <c r="U34" i="2"/>
  <c r="AK39" i="2"/>
  <c r="AC39" i="2"/>
  <c r="U39" i="2"/>
  <c r="AJ39" i="2"/>
  <c r="AL39" i="2" s="1"/>
  <c r="AM39" i="2" s="1"/>
  <c r="AB39" i="2"/>
  <c r="AD39" i="2" s="1"/>
  <c r="AE39" i="2" s="1"/>
  <c r="T39" i="2"/>
  <c r="V39" i="2" s="1"/>
  <c r="W39" i="2" s="1"/>
  <c r="AG39" i="2"/>
  <c r="Y39" i="2"/>
  <c r="Q39" i="2"/>
  <c r="AF39" i="2"/>
  <c r="AH39" i="2" s="1"/>
  <c r="AI39" i="2" s="1"/>
  <c r="X39" i="2"/>
  <c r="Z39" i="2" s="1"/>
  <c r="AA39" i="2" s="1"/>
  <c r="P39" i="2"/>
  <c r="R39" i="2" s="1"/>
  <c r="S39" i="2" s="1"/>
  <c r="W104" i="6"/>
  <c r="V104" i="6"/>
  <c r="W222" i="6"/>
  <c r="V222" i="6"/>
  <c r="Q110" i="6"/>
  <c r="P110" i="6"/>
  <c r="W82" i="6"/>
  <c r="V82" i="6"/>
  <c r="W179" i="6"/>
  <c r="V179" i="6"/>
  <c r="W210" i="6"/>
  <c r="V210" i="6"/>
  <c r="Q124" i="6"/>
  <c r="P124" i="6"/>
  <c r="Q182" i="6"/>
  <c r="P182" i="6"/>
  <c r="B225" i="6"/>
  <c r="C225" i="6" s="1"/>
  <c r="B199" i="1"/>
  <c r="H51" i="6"/>
  <c r="I51" i="6"/>
  <c r="W134" i="6"/>
  <c r="V134" i="6"/>
  <c r="W85" i="6"/>
  <c r="V85" i="6"/>
  <c r="W103" i="6"/>
  <c r="V103" i="6"/>
  <c r="W128" i="6"/>
  <c r="V128" i="6"/>
  <c r="V115" i="6"/>
  <c r="W115" i="6"/>
  <c r="V81" i="6"/>
  <c r="W81" i="6"/>
  <c r="Q134" i="6"/>
  <c r="Q224" i="6"/>
  <c r="P224" i="6"/>
  <c r="V91" i="6"/>
  <c r="W91" i="6"/>
  <c r="W127" i="6"/>
  <c r="V127" i="6"/>
  <c r="W88" i="6"/>
  <c r="V88" i="6"/>
  <c r="W98" i="6"/>
  <c r="V98" i="6"/>
  <c r="V130" i="6"/>
  <c r="W130" i="6"/>
  <c r="V123" i="6"/>
  <c r="W123" i="6"/>
  <c r="V173" i="6"/>
  <c r="W173" i="6"/>
  <c r="W177" i="6"/>
  <c r="V177" i="6"/>
  <c r="V185" i="6"/>
  <c r="W185" i="6"/>
  <c r="W206" i="6"/>
  <c r="V206" i="6"/>
  <c r="V199" i="6"/>
  <c r="W199" i="6"/>
  <c r="W216" i="6"/>
  <c r="V216" i="6"/>
  <c r="W219" i="6"/>
  <c r="V219" i="6"/>
  <c r="Q80" i="6"/>
  <c r="P80" i="6"/>
  <c r="P97" i="6"/>
  <c r="Q97" i="6"/>
  <c r="Q106" i="6"/>
  <c r="P106" i="6"/>
  <c r="Q109" i="6"/>
  <c r="P109" i="6"/>
  <c r="Q96" i="6"/>
  <c r="P96" i="6"/>
  <c r="Q118" i="6"/>
  <c r="P118" i="6"/>
  <c r="Q120" i="6"/>
  <c r="P120" i="6"/>
  <c r="P183" i="6"/>
  <c r="Q183" i="6"/>
  <c r="Q176" i="6"/>
  <c r="P176" i="6"/>
  <c r="Q192" i="6"/>
  <c r="P192" i="6"/>
  <c r="Q196" i="6"/>
  <c r="P196" i="6"/>
  <c r="Q213" i="6"/>
  <c r="P213" i="6"/>
  <c r="Q208" i="6"/>
  <c r="P208" i="6"/>
  <c r="Q211" i="6"/>
  <c r="P211" i="6"/>
  <c r="AG35" i="2"/>
  <c r="Y35" i="2"/>
  <c r="Q35" i="2"/>
  <c r="AF35" i="2"/>
  <c r="AH35" i="2" s="1"/>
  <c r="AI35" i="2" s="1"/>
  <c r="X35" i="2"/>
  <c r="Z35" i="2" s="1"/>
  <c r="AA35" i="2" s="1"/>
  <c r="P35" i="2"/>
  <c r="R35" i="2" s="1"/>
  <c r="S35" i="2" s="1"/>
  <c r="AK35" i="2"/>
  <c r="AC35" i="2"/>
  <c r="U35" i="2"/>
  <c r="AJ35" i="2"/>
  <c r="AL35" i="2" s="1"/>
  <c r="AM35" i="2" s="1"/>
  <c r="AB35" i="2"/>
  <c r="AD35" i="2" s="1"/>
  <c r="AE35" i="2" s="1"/>
  <c r="T35" i="2"/>
  <c r="V35" i="2" s="1"/>
  <c r="W35" i="2" s="1"/>
  <c r="F31" i="6"/>
  <c r="E31" i="6"/>
  <c r="J31" i="6"/>
  <c r="H59" i="6"/>
  <c r="I59" i="6"/>
  <c r="F23" i="6"/>
  <c r="E23" i="6"/>
  <c r="J23" i="6"/>
  <c r="I17" i="6"/>
  <c r="H17" i="6"/>
  <c r="I18" i="6"/>
  <c r="H18" i="6"/>
  <c r="F28" i="6"/>
  <c r="E28" i="6"/>
  <c r="J28" i="6"/>
  <c r="I60" i="6"/>
  <c r="H60" i="6"/>
  <c r="E13" i="6"/>
  <c r="J13" i="6"/>
  <c r="F13" i="6"/>
  <c r="I20" i="6"/>
  <c r="H20" i="6"/>
  <c r="J49" i="6"/>
  <c r="F49" i="6"/>
  <c r="E49" i="6"/>
  <c r="F54" i="6"/>
  <c r="E54" i="6"/>
  <c r="J54" i="6"/>
  <c r="I57" i="6"/>
  <c r="H57" i="6"/>
  <c r="F59" i="6"/>
  <c r="E59" i="6"/>
  <c r="J59" i="6"/>
  <c r="H62" i="6"/>
  <c r="I62" i="6"/>
  <c r="J26" i="6"/>
  <c r="E26" i="6"/>
  <c r="F26" i="6"/>
  <c r="W121" i="6"/>
  <c r="V121" i="6"/>
  <c r="V212" i="6"/>
  <c r="W212" i="6"/>
  <c r="Q172" i="6"/>
  <c r="P172" i="6"/>
  <c r="W94" i="6"/>
  <c r="V94" i="6"/>
  <c r="W180" i="6"/>
  <c r="V180" i="6"/>
  <c r="Q107" i="6"/>
  <c r="P107" i="6"/>
  <c r="P121" i="6"/>
  <c r="Q121" i="6"/>
  <c r="Q217" i="6"/>
  <c r="P217" i="6"/>
  <c r="I33" i="6"/>
  <c r="H33" i="6"/>
  <c r="P79" i="6"/>
  <c r="Q79" i="6"/>
  <c r="W93" i="6"/>
  <c r="V93" i="6"/>
  <c r="V99" i="6"/>
  <c r="W99" i="6"/>
  <c r="W80" i="6"/>
  <c r="V80" i="6"/>
  <c r="W96" i="6"/>
  <c r="V96" i="6"/>
  <c r="W106" i="6"/>
  <c r="V106" i="6"/>
  <c r="W113" i="6"/>
  <c r="V113" i="6"/>
  <c r="W108" i="6"/>
  <c r="V108" i="6"/>
  <c r="W175" i="6"/>
  <c r="V175" i="6"/>
  <c r="W170" i="6"/>
  <c r="V170" i="6"/>
  <c r="V193" i="6"/>
  <c r="W193" i="6"/>
  <c r="W214" i="6"/>
  <c r="V214" i="6"/>
  <c r="W184" i="6"/>
  <c r="V184" i="6"/>
  <c r="W209" i="6"/>
  <c r="V209" i="6"/>
  <c r="V204" i="6"/>
  <c r="W204" i="6"/>
  <c r="Q82" i="6"/>
  <c r="P82" i="6"/>
  <c r="P105" i="6"/>
  <c r="Q105" i="6"/>
  <c r="Q117" i="6"/>
  <c r="P117" i="6"/>
  <c r="Q186" i="6"/>
  <c r="P186" i="6"/>
  <c r="Q104" i="6"/>
  <c r="P104" i="6"/>
  <c r="Q126" i="6"/>
  <c r="P126" i="6"/>
  <c r="Q128" i="6"/>
  <c r="P128" i="6"/>
  <c r="P191" i="6"/>
  <c r="Q191" i="6"/>
  <c r="Q185" i="6"/>
  <c r="P185" i="6"/>
  <c r="P200" i="6"/>
  <c r="Q200" i="6"/>
  <c r="P181" i="6"/>
  <c r="Q181" i="6"/>
  <c r="Q221" i="6"/>
  <c r="P221" i="6"/>
  <c r="Q216" i="6"/>
  <c r="P216" i="6"/>
  <c r="Q219" i="6"/>
  <c r="P219" i="6"/>
  <c r="B174" i="2"/>
  <c r="AB9" i="6"/>
  <c r="AC9" i="6" s="1"/>
  <c r="AD9" i="6" s="1"/>
  <c r="AE9" i="6" s="1"/>
  <c r="AG31" i="2"/>
  <c r="Y31" i="2"/>
  <c r="Q31" i="2"/>
  <c r="AF31" i="2"/>
  <c r="AH31" i="2" s="1"/>
  <c r="AI31" i="2" s="1"/>
  <c r="X31" i="2"/>
  <c r="Z31" i="2" s="1"/>
  <c r="AA31" i="2" s="1"/>
  <c r="P31" i="2"/>
  <c r="R31" i="2" s="1"/>
  <c r="S31" i="2" s="1"/>
  <c r="AK31" i="2"/>
  <c r="AC31" i="2"/>
  <c r="U31" i="2"/>
  <c r="AJ31" i="2"/>
  <c r="AL31" i="2" s="1"/>
  <c r="AM31" i="2" s="1"/>
  <c r="AB31" i="2"/>
  <c r="AD31" i="2" s="1"/>
  <c r="AE31" i="2" s="1"/>
  <c r="T31" i="2"/>
  <c r="V31" i="2" s="1"/>
  <c r="W31" i="2" s="1"/>
  <c r="H43" i="6"/>
  <c r="I43" i="6"/>
  <c r="AB56" i="2"/>
  <c r="AD56" i="2" s="1"/>
  <c r="AE56" i="2" s="1"/>
  <c r="Q56" i="2"/>
  <c r="AK56" i="2"/>
  <c r="P56" i="2"/>
  <c r="R56" i="2" s="1"/>
  <c r="S56" i="2" s="1"/>
  <c r="AJ56" i="2"/>
  <c r="AL56" i="2" s="1"/>
  <c r="AM56" i="2" s="1"/>
  <c r="Y56" i="2"/>
  <c r="X56" i="2"/>
  <c r="Z56" i="2" s="1"/>
  <c r="AA56" i="2" s="1"/>
  <c r="T56" i="2"/>
  <c r="V56" i="2" s="1"/>
  <c r="W56" i="2" s="1"/>
  <c r="AG56" i="2"/>
  <c r="AF56" i="2"/>
  <c r="AH56" i="2" s="1"/>
  <c r="AI56" i="2" s="1"/>
  <c r="AC56" i="2"/>
  <c r="U56" i="2"/>
  <c r="J30" i="6"/>
  <c r="E30" i="6"/>
  <c r="F30" i="6"/>
  <c r="I21" i="6"/>
  <c r="H21" i="6"/>
  <c r="I22" i="6"/>
  <c r="H22" i="6"/>
  <c r="F32" i="6"/>
  <c r="E32" i="6"/>
  <c r="J32" i="6"/>
  <c r="I9" i="6"/>
  <c r="H9" i="6"/>
  <c r="E17" i="6"/>
  <c r="J17" i="6"/>
  <c r="F17" i="6"/>
  <c r="I24" i="6"/>
  <c r="H24" i="6"/>
  <c r="J53" i="6"/>
  <c r="F53" i="6"/>
  <c r="E53" i="6"/>
  <c r="F58" i="6"/>
  <c r="E58" i="6"/>
  <c r="J58" i="6"/>
  <c r="I61" i="6"/>
  <c r="H61" i="6"/>
  <c r="H34" i="6"/>
  <c r="I34" i="6"/>
  <c r="J36" i="6"/>
  <c r="F36" i="6"/>
  <c r="E36" i="6"/>
  <c r="W92" i="6"/>
  <c r="V92" i="6"/>
  <c r="W217" i="6"/>
  <c r="V217" i="6"/>
  <c r="Q220" i="6"/>
  <c r="P220" i="6"/>
  <c r="P201" i="6"/>
  <c r="Q201" i="6"/>
  <c r="AF28" i="2"/>
  <c r="AH28" i="2" s="1"/>
  <c r="AI28" i="2" s="1"/>
  <c r="X28" i="2"/>
  <c r="Z28" i="2" s="1"/>
  <c r="AA28" i="2" s="1"/>
  <c r="P28" i="2"/>
  <c r="R28" i="2" s="1"/>
  <c r="S28" i="2" s="1"/>
  <c r="AK28" i="2"/>
  <c r="AC28" i="2"/>
  <c r="U28" i="2"/>
  <c r="AJ28" i="2"/>
  <c r="AL28" i="2" s="1"/>
  <c r="AM28" i="2" s="1"/>
  <c r="AB28" i="2"/>
  <c r="AD28" i="2" s="1"/>
  <c r="AE28" i="2" s="1"/>
  <c r="T28" i="2"/>
  <c r="V28" i="2" s="1"/>
  <c r="W28" i="2" s="1"/>
  <c r="AG28" i="2"/>
  <c r="Y28" i="2"/>
  <c r="Q28" i="2"/>
  <c r="AG40" i="2"/>
  <c r="Y40" i="2"/>
  <c r="Q40" i="2"/>
  <c r="AF40" i="2"/>
  <c r="AH40" i="2" s="1"/>
  <c r="AI40" i="2" s="1"/>
  <c r="X40" i="2"/>
  <c r="Z40" i="2" s="1"/>
  <c r="AA40" i="2" s="1"/>
  <c r="P40" i="2"/>
  <c r="R40" i="2" s="1"/>
  <c r="S40" i="2" s="1"/>
  <c r="AK40" i="2"/>
  <c r="AC40" i="2"/>
  <c r="U40" i="2"/>
  <c r="AJ40" i="2"/>
  <c r="AL40" i="2" s="1"/>
  <c r="AM40" i="2" s="1"/>
  <c r="AB40" i="2"/>
  <c r="AD40" i="2" s="1"/>
  <c r="AE40" i="2" s="1"/>
  <c r="T40" i="2"/>
  <c r="V40" i="2" s="1"/>
  <c r="W40" i="2" s="1"/>
  <c r="AJ44" i="2"/>
  <c r="AL44" i="2" s="1"/>
  <c r="AM44" i="2" s="1"/>
  <c r="AB44" i="2"/>
  <c r="AD44" i="2" s="1"/>
  <c r="AE44" i="2" s="1"/>
  <c r="T44" i="2"/>
  <c r="V44" i="2" s="1"/>
  <c r="W44" i="2" s="1"/>
  <c r="AC44" i="2"/>
  <c r="Q44" i="2"/>
  <c r="AK44" i="2"/>
  <c r="P44" i="2"/>
  <c r="R44" i="2" s="1"/>
  <c r="S44" i="2" s="1"/>
  <c r="Y44" i="2"/>
  <c r="X44" i="2"/>
  <c r="Z44" i="2" s="1"/>
  <c r="AA44" i="2" s="1"/>
  <c r="AG44" i="2"/>
  <c r="U44" i="2"/>
  <c r="AF44" i="2"/>
  <c r="AH44" i="2" s="1"/>
  <c r="AI44" i="2" s="1"/>
  <c r="J18" i="6"/>
  <c r="E18" i="6"/>
  <c r="F18" i="6"/>
  <c r="I40" i="6"/>
  <c r="H40" i="6"/>
  <c r="I25" i="6"/>
  <c r="H25" i="6"/>
  <c r="I26" i="6"/>
  <c r="H26" i="6"/>
  <c r="I36" i="6"/>
  <c r="H36" i="6"/>
  <c r="I15" i="6"/>
  <c r="H15" i="6"/>
  <c r="E21" i="6"/>
  <c r="J21" i="6"/>
  <c r="F21" i="6"/>
  <c r="I28" i="6"/>
  <c r="H28" i="6"/>
  <c r="J57" i="6"/>
  <c r="F57" i="6"/>
  <c r="E57" i="6"/>
  <c r="F62" i="6"/>
  <c r="E62" i="6"/>
  <c r="J62" i="6"/>
  <c r="F35" i="6"/>
  <c r="E35" i="6"/>
  <c r="J35" i="6"/>
  <c r="H38" i="6"/>
  <c r="I38" i="6"/>
  <c r="J40" i="6"/>
  <c r="F40" i="6"/>
  <c r="E40" i="6"/>
  <c r="V107" i="6"/>
  <c r="W107" i="6"/>
  <c r="W186" i="6"/>
  <c r="V186" i="6"/>
  <c r="Q94" i="6"/>
  <c r="P94" i="6"/>
  <c r="Q206" i="6"/>
  <c r="P206" i="6"/>
  <c r="Q136" i="6"/>
  <c r="P136" i="6"/>
  <c r="W86" i="6"/>
  <c r="V86" i="6"/>
  <c r="W100" i="6"/>
  <c r="V100" i="6"/>
  <c r="V89" i="6"/>
  <c r="W89" i="6"/>
  <c r="W118" i="6"/>
  <c r="V118" i="6"/>
  <c r="W129" i="6"/>
  <c r="V129" i="6"/>
  <c r="W124" i="6"/>
  <c r="V124" i="6"/>
  <c r="W176" i="6"/>
  <c r="V176" i="6"/>
  <c r="V178" i="6"/>
  <c r="W178" i="6"/>
  <c r="W194" i="6"/>
  <c r="V194" i="6"/>
  <c r="W182" i="6"/>
  <c r="V182" i="6"/>
  <c r="W200" i="6"/>
  <c r="V200" i="6"/>
  <c r="W202" i="6"/>
  <c r="V202" i="6"/>
  <c r="V220" i="6"/>
  <c r="W220" i="6"/>
  <c r="Q99" i="6"/>
  <c r="P99" i="6"/>
  <c r="P85" i="6"/>
  <c r="Q85" i="6"/>
  <c r="Q92" i="6"/>
  <c r="P92" i="6"/>
  <c r="Q102" i="6"/>
  <c r="P102" i="6"/>
  <c r="Q116" i="6"/>
  <c r="P116" i="6"/>
  <c r="Q111" i="6"/>
  <c r="P111" i="6"/>
  <c r="P113" i="6"/>
  <c r="Q113" i="6"/>
  <c r="Q174" i="6"/>
  <c r="P174" i="6"/>
  <c r="P169" i="6"/>
  <c r="Q169" i="6"/>
  <c r="Q187" i="6"/>
  <c r="P187" i="6"/>
  <c r="P197" i="6"/>
  <c r="Q197" i="6"/>
  <c r="Q214" i="6"/>
  <c r="P214" i="6"/>
  <c r="Q209" i="6"/>
  <c r="P209" i="6"/>
  <c r="B126" i="2"/>
  <c r="B99" i="1" s="1"/>
  <c r="AK38" i="2"/>
  <c r="AC38" i="2"/>
  <c r="U38" i="2"/>
  <c r="AJ38" i="2"/>
  <c r="AL38" i="2" s="1"/>
  <c r="AM38" i="2" s="1"/>
  <c r="AB38" i="2"/>
  <c r="AD38" i="2" s="1"/>
  <c r="AE38" i="2" s="1"/>
  <c r="T38" i="2"/>
  <c r="V38" i="2" s="1"/>
  <c r="W38" i="2" s="1"/>
  <c r="AG38" i="2"/>
  <c r="Y38" i="2"/>
  <c r="Q38" i="2"/>
  <c r="AF38" i="2"/>
  <c r="AH38" i="2" s="1"/>
  <c r="AI38" i="2" s="1"/>
  <c r="X38" i="2"/>
  <c r="Z38" i="2" s="1"/>
  <c r="AA38" i="2" s="1"/>
  <c r="P38" i="2"/>
  <c r="R38" i="2" s="1"/>
  <c r="S38" i="2" s="1"/>
  <c r="AK47" i="2"/>
  <c r="AC47" i="2"/>
  <c r="U47" i="2"/>
  <c r="AJ47" i="2"/>
  <c r="AL47" i="2" s="1"/>
  <c r="AM47" i="2" s="1"/>
  <c r="AB47" i="2"/>
  <c r="AD47" i="2" s="1"/>
  <c r="AE47" i="2" s="1"/>
  <c r="T47" i="2"/>
  <c r="V47" i="2" s="1"/>
  <c r="W47" i="2" s="1"/>
  <c r="AG47" i="2"/>
  <c r="AF47" i="2"/>
  <c r="AH47" i="2" s="1"/>
  <c r="AI47" i="2" s="1"/>
  <c r="Y47" i="2"/>
  <c r="X47" i="2"/>
  <c r="Z47" i="2" s="1"/>
  <c r="AA47" i="2" s="1"/>
  <c r="P47" i="2"/>
  <c r="R47" i="2" s="1"/>
  <c r="S47" i="2" s="1"/>
  <c r="Q47" i="2"/>
  <c r="AG49" i="2"/>
  <c r="Y49" i="2"/>
  <c r="Q49" i="2"/>
  <c r="AF49" i="2"/>
  <c r="AH49" i="2" s="1"/>
  <c r="AI49" i="2" s="1"/>
  <c r="X49" i="2"/>
  <c r="Z49" i="2" s="1"/>
  <c r="AA49" i="2" s="1"/>
  <c r="P49" i="2"/>
  <c r="R49" i="2" s="1"/>
  <c r="S49" i="2" s="1"/>
  <c r="U49" i="2"/>
  <c r="AB49" i="2"/>
  <c r="AD49" i="2" s="1"/>
  <c r="AE49" i="2" s="1"/>
  <c r="T49" i="2"/>
  <c r="V49" i="2" s="1"/>
  <c r="W49" i="2" s="1"/>
  <c r="AK49" i="2"/>
  <c r="AJ49" i="2"/>
  <c r="AL49" i="2" s="1"/>
  <c r="AM49" i="2" s="1"/>
  <c r="AC49" i="2"/>
  <c r="F27" i="6"/>
  <c r="E27" i="6"/>
  <c r="J27" i="6"/>
  <c r="I56" i="6"/>
  <c r="H56" i="6"/>
  <c r="I29" i="6"/>
  <c r="H29" i="6"/>
  <c r="I30" i="6"/>
  <c r="H30" i="6"/>
  <c r="H39" i="6"/>
  <c r="I39" i="6"/>
  <c r="I19" i="6"/>
  <c r="H19" i="6"/>
  <c r="E25" i="6"/>
  <c r="J25" i="6"/>
  <c r="F25" i="6"/>
  <c r="I32" i="6"/>
  <c r="H32" i="6"/>
  <c r="J61" i="6"/>
  <c r="F61" i="6"/>
  <c r="E61" i="6"/>
  <c r="I37" i="6"/>
  <c r="H37" i="6"/>
  <c r="F39" i="6"/>
  <c r="E39" i="6"/>
  <c r="J39" i="6"/>
  <c r="H42" i="6"/>
  <c r="I42" i="6"/>
  <c r="J44" i="6"/>
  <c r="F44" i="6"/>
  <c r="E44" i="6"/>
  <c r="K94" i="6" l="1"/>
  <c r="B264" i="2"/>
  <c r="B193" i="1" s="1"/>
  <c r="B241" i="2"/>
  <c r="B191" i="1" s="1"/>
  <c r="B268" i="2"/>
  <c r="E268" i="2"/>
  <c r="E131" i="6"/>
  <c r="B226" i="2"/>
  <c r="B178" i="1" s="1"/>
  <c r="V136" i="6"/>
  <c r="B217" i="2"/>
  <c r="AM14" i="2"/>
  <c r="J108" i="6"/>
  <c r="R108" i="6" s="1"/>
  <c r="T108" i="6" s="1"/>
  <c r="J101" i="6"/>
  <c r="R101" i="6" s="1"/>
  <c r="AL7" i="2"/>
  <c r="AM7" i="2" s="1"/>
  <c r="E101" i="6"/>
  <c r="AH6" i="2"/>
  <c r="AI6" i="2" s="1"/>
  <c r="G82" i="6"/>
  <c r="I82" i="6" s="1"/>
  <c r="H101" i="6"/>
  <c r="AM17" i="2"/>
  <c r="B201" i="2"/>
  <c r="F119" i="6"/>
  <c r="D190" i="6"/>
  <c r="G190" i="6" s="1"/>
  <c r="I190" i="6" s="1"/>
  <c r="D169" i="6"/>
  <c r="G169" i="6" s="1"/>
  <c r="I169" i="6" s="1"/>
  <c r="F101" i="6"/>
  <c r="E118" i="6"/>
  <c r="J127" i="6"/>
  <c r="R127" i="6" s="1"/>
  <c r="E127" i="6"/>
  <c r="V13" i="2"/>
  <c r="W13" i="2" s="1"/>
  <c r="AA6" i="2"/>
  <c r="J92" i="6"/>
  <c r="R92" i="6" s="1"/>
  <c r="T92" i="6" s="1"/>
  <c r="W15" i="2"/>
  <c r="S6" i="2"/>
  <c r="W7" i="2"/>
  <c r="E129" i="6"/>
  <c r="E134" i="6"/>
  <c r="F129" i="6"/>
  <c r="E94" i="6"/>
  <c r="G129" i="6"/>
  <c r="H129" i="6" s="1"/>
  <c r="K129" i="6"/>
  <c r="G135" i="6"/>
  <c r="I135" i="6" s="1"/>
  <c r="AH15" i="2"/>
  <c r="AI15" i="2" s="1"/>
  <c r="W8" i="2"/>
  <c r="G134" i="6"/>
  <c r="R134" i="6" s="1"/>
  <c r="AD6" i="2"/>
  <c r="AE6" i="2" s="1"/>
  <c r="K134" i="6"/>
  <c r="E119" i="6"/>
  <c r="L104" i="6"/>
  <c r="G119" i="6"/>
  <c r="R119" i="6" s="1"/>
  <c r="T119" i="6" s="1"/>
  <c r="E114" i="6"/>
  <c r="F114" i="6"/>
  <c r="E111" i="6"/>
  <c r="F111" i="6"/>
  <c r="AH13" i="2"/>
  <c r="AI13" i="2" s="1"/>
  <c r="F106" i="6"/>
  <c r="F83" i="6"/>
  <c r="V6" i="2"/>
  <c r="W6" i="2" s="1"/>
  <c r="AD7" i="2"/>
  <c r="AE7" i="2" s="1"/>
  <c r="AM15" i="2"/>
  <c r="J114" i="6"/>
  <c r="R114" i="6" s="1"/>
  <c r="J110" i="6"/>
  <c r="R110" i="6" s="1"/>
  <c r="S110" i="6" s="1"/>
  <c r="F110" i="6"/>
  <c r="E110" i="6"/>
  <c r="F105" i="6"/>
  <c r="G136" i="6"/>
  <c r="R136" i="6" s="1"/>
  <c r="F136" i="6"/>
  <c r="E136" i="6"/>
  <c r="K133" i="6"/>
  <c r="E100" i="6"/>
  <c r="E92" i="6"/>
  <c r="F103" i="6"/>
  <c r="F92" i="6"/>
  <c r="F100" i="6"/>
  <c r="E103" i="6"/>
  <c r="D202" i="6"/>
  <c r="J202" i="6" s="1"/>
  <c r="K202" i="6" s="1"/>
  <c r="D196" i="6"/>
  <c r="G196" i="6" s="1"/>
  <c r="I196" i="6" s="1"/>
  <c r="J113" i="6"/>
  <c r="L113" i="6" s="1"/>
  <c r="F130" i="6"/>
  <c r="D171" i="6"/>
  <c r="G171" i="6" s="1"/>
  <c r="H171" i="6" s="1"/>
  <c r="J219" i="6"/>
  <c r="L219" i="6" s="1"/>
  <c r="D177" i="6"/>
  <c r="G177" i="6" s="1"/>
  <c r="D191" i="6"/>
  <c r="J191" i="6" s="1"/>
  <c r="L191" i="6" s="1"/>
  <c r="D176" i="6"/>
  <c r="G176" i="6" s="1"/>
  <c r="I176" i="6" s="1"/>
  <c r="D182" i="6"/>
  <c r="G182" i="6" s="1"/>
  <c r="E113" i="6"/>
  <c r="F113" i="6"/>
  <c r="J83" i="6"/>
  <c r="L83" i="6" s="1"/>
  <c r="G83" i="6"/>
  <c r="I83" i="6" s="1"/>
  <c r="I113" i="6"/>
  <c r="G122" i="6"/>
  <c r="I122" i="6" s="1"/>
  <c r="AA15" i="2"/>
  <c r="D203" i="6"/>
  <c r="G203" i="6" s="1"/>
  <c r="I203" i="6" s="1"/>
  <c r="AH14" i="2"/>
  <c r="AI14" i="2" s="1"/>
  <c r="F124" i="6"/>
  <c r="E84" i="6"/>
  <c r="E124" i="6"/>
  <c r="F84" i="6"/>
  <c r="K124" i="6"/>
  <c r="V135" i="6"/>
  <c r="H84" i="6"/>
  <c r="AA17" i="2"/>
  <c r="J84" i="6"/>
  <c r="L84" i="6" s="1"/>
  <c r="G124" i="6"/>
  <c r="R124" i="6" s="1"/>
  <c r="AE8" i="2"/>
  <c r="E96" i="6"/>
  <c r="AM6" i="2"/>
  <c r="I92" i="6"/>
  <c r="I103" i="6"/>
  <c r="J103" i="6"/>
  <c r="R103" i="6" s="1"/>
  <c r="G100" i="6"/>
  <c r="R100" i="6" s="1"/>
  <c r="S100" i="6" s="1"/>
  <c r="L136" i="6"/>
  <c r="E105" i="6"/>
  <c r="J109" i="6"/>
  <c r="R109" i="6" s="1"/>
  <c r="S109" i="6" s="1"/>
  <c r="E120" i="6"/>
  <c r="I91" i="6"/>
  <c r="E112" i="6"/>
  <c r="F128" i="6"/>
  <c r="F120" i="6"/>
  <c r="F112" i="6"/>
  <c r="J128" i="6"/>
  <c r="L128" i="6" s="1"/>
  <c r="R12" i="2"/>
  <c r="S12" i="2" s="1"/>
  <c r="P135" i="6"/>
  <c r="E109" i="6"/>
  <c r="H81" i="6"/>
  <c r="F109" i="6"/>
  <c r="G104" i="6"/>
  <c r="R104" i="6" s="1"/>
  <c r="AA14" i="2"/>
  <c r="F80" i="6"/>
  <c r="E80" i="6"/>
  <c r="J112" i="6"/>
  <c r="R112" i="6" s="1"/>
  <c r="G120" i="6"/>
  <c r="I120" i="6" s="1"/>
  <c r="E128" i="6"/>
  <c r="G80" i="6"/>
  <c r="R80" i="6" s="1"/>
  <c r="E95" i="6"/>
  <c r="F127" i="6"/>
  <c r="F82" i="6"/>
  <c r="G102" i="6"/>
  <c r="H102" i="6" s="1"/>
  <c r="F102" i="6"/>
  <c r="E93" i="6"/>
  <c r="I96" i="6"/>
  <c r="H116" i="6"/>
  <c r="F96" i="6"/>
  <c r="E82" i="6"/>
  <c r="E133" i="6"/>
  <c r="I127" i="6"/>
  <c r="K93" i="6"/>
  <c r="K95" i="6"/>
  <c r="F133" i="6"/>
  <c r="F116" i="6"/>
  <c r="J116" i="6"/>
  <c r="G93" i="6"/>
  <c r="R93" i="6" s="1"/>
  <c r="F95" i="6"/>
  <c r="E116" i="6"/>
  <c r="G95" i="6"/>
  <c r="J96" i="6"/>
  <c r="R96" i="6" s="1"/>
  <c r="T96" i="6" s="1"/>
  <c r="G133" i="6"/>
  <c r="I133" i="6" s="1"/>
  <c r="AD13" i="2"/>
  <c r="AE13" i="2" s="1"/>
  <c r="H128" i="6"/>
  <c r="L100" i="6"/>
  <c r="S13" i="2"/>
  <c r="E104" i="6"/>
  <c r="AM8" i="2"/>
  <c r="L120" i="6"/>
  <c r="F104" i="6"/>
  <c r="K105" i="6"/>
  <c r="F108" i="6"/>
  <c r="H112" i="6"/>
  <c r="I109" i="6"/>
  <c r="K80" i="6"/>
  <c r="E108" i="6"/>
  <c r="G105" i="6"/>
  <c r="R105" i="6" s="1"/>
  <c r="I111" i="6"/>
  <c r="L102" i="6"/>
  <c r="G79" i="6"/>
  <c r="R79" i="6" s="1"/>
  <c r="H86" i="6"/>
  <c r="AI8" i="2"/>
  <c r="F79" i="6"/>
  <c r="K98" i="6"/>
  <c r="G98" i="6"/>
  <c r="I98" i="6" s="1"/>
  <c r="E99" i="6"/>
  <c r="L79" i="6"/>
  <c r="E86" i="6"/>
  <c r="F99" i="6"/>
  <c r="L99" i="6"/>
  <c r="E91" i="6"/>
  <c r="E121" i="6"/>
  <c r="F98" i="6"/>
  <c r="J91" i="6"/>
  <c r="R91" i="6" s="1"/>
  <c r="E79" i="6"/>
  <c r="E81" i="6"/>
  <c r="J86" i="6"/>
  <c r="R86" i="6" s="1"/>
  <c r="T86" i="6" s="1"/>
  <c r="G87" i="6"/>
  <c r="H87" i="6" s="1"/>
  <c r="G121" i="6"/>
  <c r="R121" i="6" s="1"/>
  <c r="F91" i="6"/>
  <c r="F121" i="6"/>
  <c r="E98" i="6"/>
  <c r="F86" i="6"/>
  <c r="J87" i="6"/>
  <c r="K87" i="6" s="1"/>
  <c r="F81" i="6"/>
  <c r="E125" i="6"/>
  <c r="D200" i="6"/>
  <c r="G200" i="6" s="1"/>
  <c r="H200" i="6" s="1"/>
  <c r="D180" i="6"/>
  <c r="J180" i="6" s="1"/>
  <c r="D225" i="6"/>
  <c r="G225" i="6" s="1"/>
  <c r="D174" i="6"/>
  <c r="G174" i="6" s="1"/>
  <c r="H174" i="6" s="1"/>
  <c r="AI12" i="2"/>
  <c r="F125" i="6"/>
  <c r="D194" i="6"/>
  <c r="E194" i="6" s="1"/>
  <c r="D213" i="6"/>
  <c r="F213" i="6" s="1"/>
  <c r="K125" i="6"/>
  <c r="D170" i="6"/>
  <c r="G170" i="6" s="1"/>
  <c r="I170" i="6" s="1"/>
  <c r="G132" i="6"/>
  <c r="R132" i="6" s="1"/>
  <c r="B75" i="2"/>
  <c r="B77" i="2" s="1"/>
  <c r="B46" i="1" s="1"/>
  <c r="G125" i="6"/>
  <c r="R125" i="6" s="1"/>
  <c r="D188" i="6"/>
  <c r="G188" i="6" s="1"/>
  <c r="I188" i="6" s="1"/>
  <c r="B239" i="2"/>
  <c r="B227" i="6" s="1"/>
  <c r="C227" i="6" s="1"/>
  <c r="D227" i="6" s="1"/>
  <c r="G227" i="6" s="1"/>
  <c r="D216" i="6"/>
  <c r="E216" i="6" s="1"/>
  <c r="D226" i="6"/>
  <c r="J226" i="6" s="1"/>
  <c r="L226" i="6" s="1"/>
  <c r="L131" i="6"/>
  <c r="K132" i="6"/>
  <c r="Z16" i="2"/>
  <c r="AA16" i="2" s="1"/>
  <c r="D178" i="6"/>
  <c r="G178" i="6" s="1"/>
  <c r="H178" i="6" s="1"/>
  <c r="D192" i="6"/>
  <c r="F192" i="6" s="1"/>
  <c r="E132" i="6"/>
  <c r="D218" i="6"/>
  <c r="E218" i="6" s="1"/>
  <c r="D220" i="6"/>
  <c r="G220" i="6" s="1"/>
  <c r="D221" i="6"/>
  <c r="G221" i="6" s="1"/>
  <c r="I221" i="6" s="1"/>
  <c r="D222" i="6"/>
  <c r="F222" i="6" s="1"/>
  <c r="D183" i="6"/>
  <c r="G183" i="6" s="1"/>
  <c r="H183" i="6" s="1"/>
  <c r="F132" i="6"/>
  <c r="F134" i="6"/>
  <c r="F93" i="6"/>
  <c r="H114" i="6"/>
  <c r="K119" i="6"/>
  <c r="G99" i="6"/>
  <c r="J81" i="6"/>
  <c r="K81" i="6" s="1"/>
  <c r="D215" i="6"/>
  <c r="J215" i="6" s="1"/>
  <c r="K215" i="6" s="1"/>
  <c r="D197" i="6"/>
  <c r="J197" i="6" s="1"/>
  <c r="L197" i="6" s="1"/>
  <c r="G131" i="6"/>
  <c r="R131" i="6" s="1"/>
  <c r="D201" i="6"/>
  <c r="G201" i="6" s="1"/>
  <c r="H201" i="6" s="1"/>
  <c r="D211" i="6"/>
  <c r="J211" i="6" s="1"/>
  <c r="L211" i="6" s="1"/>
  <c r="D212" i="6"/>
  <c r="E212" i="6" s="1"/>
  <c r="D195" i="6"/>
  <c r="G195" i="6" s="1"/>
  <c r="H195" i="6" s="1"/>
  <c r="J111" i="6"/>
  <c r="L111" i="6" s="1"/>
  <c r="E87" i="6"/>
  <c r="AA12" i="2"/>
  <c r="D209" i="6"/>
  <c r="J209" i="6" s="1"/>
  <c r="L209" i="6" s="1"/>
  <c r="D175" i="6"/>
  <c r="J175" i="6" s="1"/>
  <c r="K175" i="6" s="1"/>
  <c r="D199" i="6"/>
  <c r="G199" i="6" s="1"/>
  <c r="I199" i="6" s="1"/>
  <c r="B30" i="2"/>
  <c r="B28" i="1" s="1"/>
  <c r="F131" i="6"/>
  <c r="D207" i="6"/>
  <c r="J207" i="6" s="1"/>
  <c r="L207" i="6" s="1"/>
  <c r="D210" i="6"/>
  <c r="J210" i="6" s="1"/>
  <c r="D193" i="6"/>
  <c r="G193" i="6" s="1"/>
  <c r="I193" i="6" s="1"/>
  <c r="D173" i="6"/>
  <c r="G173" i="6" s="1"/>
  <c r="H173" i="6" s="1"/>
  <c r="B105" i="2"/>
  <c r="E102" i="6"/>
  <c r="F94" i="6"/>
  <c r="G94" i="6"/>
  <c r="V9" i="2"/>
  <c r="W9" i="2" s="1"/>
  <c r="F126" i="6"/>
  <c r="E106" i="6"/>
  <c r="G126" i="6"/>
  <c r="I126" i="6" s="1"/>
  <c r="Z9" i="2"/>
  <c r="AA9" i="2" s="1"/>
  <c r="E126" i="6"/>
  <c r="J123" i="6"/>
  <c r="R123" i="6" s="1"/>
  <c r="T123" i="6" s="1"/>
  <c r="F90" i="6"/>
  <c r="H118" i="6"/>
  <c r="K106" i="6"/>
  <c r="E90" i="6"/>
  <c r="E107" i="6"/>
  <c r="J118" i="6"/>
  <c r="R118" i="6" s="1"/>
  <c r="L126" i="6"/>
  <c r="G106" i="6"/>
  <c r="I106" i="6" s="1"/>
  <c r="G107" i="6"/>
  <c r="W12" i="2"/>
  <c r="F107" i="6"/>
  <c r="J90" i="6"/>
  <c r="R90" i="6" s="1"/>
  <c r="I123" i="6"/>
  <c r="E123" i="6"/>
  <c r="K107" i="6"/>
  <c r="F118" i="6"/>
  <c r="F123" i="6"/>
  <c r="K122" i="6"/>
  <c r="D204" i="6"/>
  <c r="F204" i="6" s="1"/>
  <c r="F88" i="6"/>
  <c r="AM13" i="2"/>
  <c r="J130" i="6"/>
  <c r="D208" i="6"/>
  <c r="F208" i="6" s="1"/>
  <c r="Z13" i="2"/>
  <c r="AA13" i="2" s="1"/>
  <c r="D198" i="6"/>
  <c r="J198" i="6" s="1"/>
  <c r="L198" i="6" s="1"/>
  <c r="E88" i="6"/>
  <c r="E89" i="6"/>
  <c r="E115" i="6"/>
  <c r="G89" i="6"/>
  <c r="H89" i="6" s="1"/>
  <c r="F89" i="6"/>
  <c r="F115" i="6"/>
  <c r="I88" i="6"/>
  <c r="G130" i="6"/>
  <c r="I130" i="6" s="1"/>
  <c r="E122" i="6"/>
  <c r="G115" i="6"/>
  <c r="H115" i="6" s="1"/>
  <c r="F122" i="6"/>
  <c r="G117" i="6"/>
  <c r="I117" i="6" s="1"/>
  <c r="E117" i="6"/>
  <c r="K115" i="6"/>
  <c r="J88" i="6"/>
  <c r="J117" i="6"/>
  <c r="B197" i="1"/>
  <c r="J97" i="6"/>
  <c r="R97" i="6" s="1"/>
  <c r="T97" i="6" s="1"/>
  <c r="F97" i="6"/>
  <c r="B228" i="6"/>
  <c r="C228" i="6" s="1"/>
  <c r="D228" i="6" s="1"/>
  <c r="J228" i="6" s="1"/>
  <c r="K228" i="6" s="1"/>
  <c r="AA7" i="2"/>
  <c r="G85" i="6"/>
  <c r="AI10" i="2"/>
  <c r="AA11" i="2"/>
  <c r="I97" i="6"/>
  <c r="V11" i="2"/>
  <c r="W11" i="2" s="1"/>
  <c r="B221" i="2"/>
  <c r="B223" i="2" s="1"/>
  <c r="B224" i="2" s="1"/>
  <c r="J85" i="6"/>
  <c r="K85" i="6" s="1"/>
  <c r="E85" i="6"/>
  <c r="E97" i="6"/>
  <c r="AH16" i="2"/>
  <c r="AI16" i="2" s="1"/>
  <c r="AH7" i="2"/>
  <c r="AI7" i="2" s="1"/>
  <c r="D214" i="6"/>
  <c r="F214" i="6" s="1"/>
  <c r="D184" i="6"/>
  <c r="J184" i="6" s="1"/>
  <c r="K184" i="6" s="1"/>
  <c r="S9" i="2"/>
  <c r="D224" i="6"/>
  <c r="J224" i="6" s="1"/>
  <c r="L224" i="6" s="1"/>
  <c r="D187" i="6"/>
  <c r="F187" i="6" s="1"/>
  <c r="AM11" i="2"/>
  <c r="D185" i="6"/>
  <c r="E185" i="6" s="1"/>
  <c r="D172" i="6"/>
  <c r="F172" i="6" s="1"/>
  <c r="G219" i="6"/>
  <c r="AL16" i="2"/>
  <c r="AM16" i="2" s="1"/>
  <c r="D186" i="6"/>
  <c r="E186" i="6" s="1"/>
  <c r="D181" i="6"/>
  <c r="G181" i="6" s="1"/>
  <c r="I181" i="6" s="1"/>
  <c r="D179" i="6"/>
  <c r="J179" i="6" s="1"/>
  <c r="L179" i="6" s="1"/>
  <c r="D206" i="6"/>
  <c r="G206" i="6" s="1"/>
  <c r="H206" i="6" s="1"/>
  <c r="D189" i="6"/>
  <c r="J189" i="6" s="1"/>
  <c r="L189" i="6" s="1"/>
  <c r="D205" i="6"/>
  <c r="J205" i="6" s="1"/>
  <c r="K205" i="6" s="1"/>
  <c r="D223" i="6"/>
  <c r="E223" i="6" s="1"/>
  <c r="AL12" i="2"/>
  <c r="AM12" i="2" s="1"/>
  <c r="D217" i="6"/>
  <c r="F217" i="6" s="1"/>
  <c r="AE12" i="2"/>
  <c r="Z10" i="2"/>
  <c r="AA10" i="2" s="1"/>
  <c r="Z8" i="2"/>
  <c r="AA8" i="2" s="1"/>
  <c r="AM10" i="2"/>
  <c r="AH9" i="2"/>
  <c r="AI9" i="2" s="1"/>
  <c r="AL9" i="2"/>
  <c r="AM9" i="2" s="1"/>
  <c r="F135" i="6"/>
  <c r="R8" i="2"/>
  <c r="S8" i="2" s="1"/>
  <c r="E135" i="6"/>
  <c r="AE10" i="2"/>
  <c r="E219" i="6"/>
  <c r="K135" i="6"/>
  <c r="V16" i="2"/>
  <c r="W16" i="2" s="1"/>
  <c r="S11" i="2"/>
  <c r="R10" i="2"/>
  <c r="S10" i="2" s="1"/>
  <c r="AD11" i="2"/>
  <c r="AE11" i="2" s="1"/>
  <c r="AI11" i="2"/>
  <c r="L11" i="6"/>
  <c r="K11" i="6"/>
  <c r="K22" i="6"/>
  <c r="L22" i="6"/>
  <c r="L33" i="6"/>
  <c r="K33" i="6"/>
  <c r="K27" i="6"/>
  <c r="L27" i="6"/>
  <c r="O137" i="6"/>
  <c r="U137" i="6"/>
  <c r="D137" i="6"/>
  <c r="G137" i="6" s="1"/>
  <c r="K15" i="6"/>
  <c r="L15" i="6"/>
  <c r="L51" i="6"/>
  <c r="K51" i="6"/>
  <c r="I110" i="6"/>
  <c r="H110" i="6"/>
  <c r="L52" i="6"/>
  <c r="K52" i="6"/>
  <c r="L42" i="6"/>
  <c r="K42" i="6"/>
  <c r="L34" i="6"/>
  <c r="K34" i="6"/>
  <c r="L40" i="6"/>
  <c r="K40" i="6"/>
  <c r="L39" i="6"/>
  <c r="K39" i="6"/>
  <c r="L53" i="6"/>
  <c r="K53" i="6"/>
  <c r="L32" i="6"/>
  <c r="K32" i="6"/>
  <c r="L54" i="6"/>
  <c r="K54" i="6"/>
  <c r="K82" i="6"/>
  <c r="L82" i="6"/>
  <c r="L55" i="6"/>
  <c r="K55" i="6"/>
  <c r="R84" i="6"/>
  <c r="L20" i="6"/>
  <c r="K20" i="6"/>
  <c r="K9" i="6"/>
  <c r="L9" i="6"/>
  <c r="U226" i="6"/>
  <c r="O226" i="6"/>
  <c r="L48" i="6"/>
  <c r="K48" i="6"/>
  <c r="L29" i="6"/>
  <c r="K29" i="6"/>
  <c r="L36" i="6"/>
  <c r="K36" i="6"/>
  <c r="L89" i="6"/>
  <c r="K89" i="6"/>
  <c r="K30" i="6"/>
  <c r="L30" i="6"/>
  <c r="K26" i="6"/>
  <c r="L26" i="6"/>
  <c r="L13" i="6"/>
  <c r="K13" i="6"/>
  <c r="K31" i="6"/>
  <c r="L31" i="6"/>
  <c r="L41" i="6"/>
  <c r="K41" i="6"/>
  <c r="K10" i="6"/>
  <c r="L10" i="6"/>
  <c r="L43" i="6"/>
  <c r="K43" i="6"/>
  <c r="L35" i="6"/>
  <c r="K35" i="6"/>
  <c r="L57" i="6"/>
  <c r="K57" i="6"/>
  <c r="L45" i="6"/>
  <c r="K45" i="6"/>
  <c r="L24" i="6"/>
  <c r="K24" i="6"/>
  <c r="L121" i="6"/>
  <c r="K121" i="6"/>
  <c r="L47" i="6"/>
  <c r="K47" i="6"/>
  <c r="J178" i="6"/>
  <c r="L12" i="6"/>
  <c r="K12" i="6"/>
  <c r="L21" i="6"/>
  <c r="K21" i="6"/>
  <c r="L25" i="6"/>
  <c r="K25" i="6"/>
  <c r="L58" i="6"/>
  <c r="K58" i="6"/>
  <c r="L59" i="6"/>
  <c r="K59" i="6"/>
  <c r="O225" i="6"/>
  <c r="U225" i="6"/>
  <c r="K14" i="6"/>
  <c r="L14" i="6"/>
  <c r="K8" i="6"/>
  <c r="L8" i="6"/>
  <c r="I108" i="6"/>
  <c r="H108" i="6"/>
  <c r="K18" i="6"/>
  <c r="L18" i="6"/>
  <c r="L17" i="6"/>
  <c r="K17" i="6"/>
  <c r="K23" i="6"/>
  <c r="L23" i="6"/>
  <c r="L108" i="6"/>
  <c r="L56" i="6"/>
  <c r="K56" i="6"/>
  <c r="L46" i="6"/>
  <c r="K46" i="6"/>
  <c r="L37" i="6"/>
  <c r="K37" i="6"/>
  <c r="L16" i="6"/>
  <c r="K16" i="6"/>
  <c r="K19" i="6"/>
  <c r="L19" i="6"/>
  <c r="I90" i="6"/>
  <c r="H90" i="6"/>
  <c r="L38" i="6"/>
  <c r="K38" i="6"/>
  <c r="L61" i="6"/>
  <c r="K61" i="6"/>
  <c r="L44" i="6"/>
  <c r="K44" i="6"/>
  <c r="L62" i="6"/>
  <c r="K62" i="6"/>
  <c r="L49" i="6"/>
  <c r="K49" i="6"/>
  <c r="L28" i="6"/>
  <c r="K28" i="6"/>
  <c r="L60" i="6"/>
  <c r="K60" i="6"/>
  <c r="L50" i="6"/>
  <c r="K50" i="6"/>
  <c r="L101" i="6"/>
  <c r="K101" i="6"/>
  <c r="H169" i="6" l="1"/>
  <c r="E169" i="6"/>
  <c r="J169" i="6"/>
  <c r="L169" i="6" s="1"/>
  <c r="F169" i="6"/>
  <c r="B165" i="1"/>
  <c r="D217" i="2"/>
  <c r="E182" i="6"/>
  <c r="AA47" i="6" a="1"/>
  <c r="AA47" i="6" s="1"/>
  <c r="Z47" i="6" a="1"/>
  <c r="Z47" i="6" s="1"/>
  <c r="Z46" i="6" a="1"/>
  <c r="Z46" i="6" s="1"/>
  <c r="AA46" i="6" a="1"/>
  <c r="AA46" i="6" s="1"/>
  <c r="AA45" i="6" a="1"/>
  <c r="AA45" i="6" s="1"/>
  <c r="Z45" i="6" a="1"/>
  <c r="Z45" i="6" s="1"/>
  <c r="K108" i="6"/>
  <c r="T90" i="6"/>
  <c r="K84" i="6"/>
  <c r="L92" i="6"/>
  <c r="E190" i="6"/>
  <c r="H190" i="6"/>
  <c r="F190" i="6"/>
  <c r="J190" i="6"/>
  <c r="R190" i="6" s="1"/>
  <c r="B176" i="1"/>
  <c r="T100" i="6"/>
  <c r="S92" i="6"/>
  <c r="I125" i="6"/>
  <c r="E178" i="6"/>
  <c r="I178" i="6"/>
  <c r="H125" i="6"/>
  <c r="H193" i="6"/>
  <c r="F176" i="6"/>
  <c r="E202" i="6"/>
  <c r="R82" i="6"/>
  <c r="T82" i="6" s="1"/>
  <c r="H82" i="6"/>
  <c r="R102" i="6"/>
  <c r="T102" i="6" s="1"/>
  <c r="S101" i="6"/>
  <c r="T101" i="6"/>
  <c r="J182" i="6"/>
  <c r="K182" i="6" s="1"/>
  <c r="H134" i="6"/>
  <c r="L112" i="6"/>
  <c r="K197" i="6"/>
  <c r="H196" i="6"/>
  <c r="H203" i="6"/>
  <c r="I134" i="6"/>
  <c r="J203" i="6"/>
  <c r="R203" i="6" s="1"/>
  <c r="F196" i="6"/>
  <c r="S134" i="6"/>
  <c r="B200" i="2" s="1"/>
  <c r="B203" i="2" s="1"/>
  <c r="B205" i="2" s="1"/>
  <c r="S114" i="6"/>
  <c r="T134" i="6"/>
  <c r="T114" i="6"/>
  <c r="K96" i="6"/>
  <c r="F202" i="6"/>
  <c r="L202" i="6"/>
  <c r="H120" i="6"/>
  <c r="R120" i="6"/>
  <c r="J176" i="6"/>
  <c r="L176" i="6" s="1"/>
  <c r="L127" i="6"/>
  <c r="K127" i="6"/>
  <c r="H176" i="6"/>
  <c r="E176" i="6"/>
  <c r="F170" i="6"/>
  <c r="G202" i="6"/>
  <c r="R202" i="6" s="1"/>
  <c r="T202" i="6" s="1"/>
  <c r="K123" i="6"/>
  <c r="K92" i="6"/>
  <c r="L123" i="6"/>
  <c r="E226" i="6"/>
  <c r="K112" i="6"/>
  <c r="I206" i="6"/>
  <c r="K113" i="6"/>
  <c r="T110" i="6"/>
  <c r="L110" i="6"/>
  <c r="S103" i="6"/>
  <c r="L103" i="6"/>
  <c r="K110" i="6"/>
  <c r="T103" i="6"/>
  <c r="R113" i="6"/>
  <c r="S113" i="6" s="1"/>
  <c r="K103" i="6"/>
  <c r="F171" i="6"/>
  <c r="K219" i="6"/>
  <c r="H83" i="6"/>
  <c r="R219" i="6"/>
  <c r="T219" i="6" s="1"/>
  <c r="I124" i="6"/>
  <c r="I129" i="6"/>
  <c r="E192" i="6"/>
  <c r="R129" i="6"/>
  <c r="L87" i="6"/>
  <c r="I93" i="6"/>
  <c r="I171" i="6"/>
  <c r="B108" i="2"/>
  <c r="B83" i="1" s="1"/>
  <c r="B106" i="2"/>
  <c r="B81" i="1" s="1"/>
  <c r="I136" i="6"/>
  <c r="H119" i="6"/>
  <c r="I119" i="6"/>
  <c r="R135" i="6"/>
  <c r="T135" i="6" s="1"/>
  <c r="J177" i="6"/>
  <c r="L177" i="6" s="1"/>
  <c r="S119" i="6"/>
  <c r="T109" i="6"/>
  <c r="H135" i="6"/>
  <c r="T136" i="6"/>
  <c r="S136" i="6"/>
  <c r="O228" i="6"/>
  <c r="P228" i="6" s="1"/>
  <c r="H136" i="6"/>
  <c r="I102" i="6"/>
  <c r="G207" i="6"/>
  <c r="R207" i="6" s="1"/>
  <c r="F207" i="6"/>
  <c r="G222" i="6"/>
  <c r="E222" i="6"/>
  <c r="E207" i="6"/>
  <c r="F200" i="6"/>
  <c r="J222" i="6"/>
  <c r="K222" i="6" s="1"/>
  <c r="E220" i="6"/>
  <c r="E200" i="6"/>
  <c r="J220" i="6"/>
  <c r="R220" i="6" s="1"/>
  <c r="I195" i="6"/>
  <c r="F220" i="6"/>
  <c r="J212" i="6"/>
  <c r="L212" i="6" s="1"/>
  <c r="I121" i="6"/>
  <c r="H170" i="6"/>
  <c r="G226" i="6"/>
  <c r="H226" i="6" s="1"/>
  <c r="F226" i="6"/>
  <c r="H121" i="6"/>
  <c r="J200" i="6"/>
  <c r="K200" i="6" s="1"/>
  <c r="E187" i="6"/>
  <c r="G179" i="6"/>
  <c r="R179" i="6" s="1"/>
  <c r="T179" i="6" s="1"/>
  <c r="R89" i="6"/>
  <c r="S89" i="6" s="1"/>
  <c r="F211" i="6"/>
  <c r="E213" i="6"/>
  <c r="H117" i="6"/>
  <c r="G218" i="6"/>
  <c r="H218" i="6" s="1"/>
  <c r="I89" i="6"/>
  <c r="I87" i="6"/>
  <c r="F216" i="6"/>
  <c r="E203" i="6"/>
  <c r="J193" i="6"/>
  <c r="K193" i="6" s="1"/>
  <c r="H132" i="6"/>
  <c r="F182" i="6"/>
  <c r="F178" i="6"/>
  <c r="G197" i="6"/>
  <c r="R197" i="6" s="1"/>
  <c r="E225" i="6"/>
  <c r="I100" i="6"/>
  <c r="F203" i="6"/>
  <c r="E193" i="6"/>
  <c r="J225" i="6"/>
  <c r="L225" i="6" s="1"/>
  <c r="I132" i="6"/>
  <c r="F225" i="6"/>
  <c r="I105" i="6"/>
  <c r="F193" i="6"/>
  <c r="E197" i="6"/>
  <c r="F197" i="6"/>
  <c r="J196" i="6"/>
  <c r="K196" i="6" s="1"/>
  <c r="E196" i="6"/>
  <c r="H100" i="6"/>
  <c r="L205" i="6"/>
  <c r="L114" i="6"/>
  <c r="K114" i="6"/>
  <c r="E179" i="6"/>
  <c r="F179" i="6"/>
  <c r="I200" i="6"/>
  <c r="K226" i="6"/>
  <c r="G212" i="6"/>
  <c r="H212" i="6" s="1"/>
  <c r="K179" i="6"/>
  <c r="F212" i="6"/>
  <c r="L90" i="6"/>
  <c r="J171" i="6"/>
  <c r="L171" i="6" s="1"/>
  <c r="J183" i="6"/>
  <c r="R183" i="6" s="1"/>
  <c r="S124" i="6"/>
  <c r="R83" i="6"/>
  <c r="T83" i="6" s="1"/>
  <c r="T124" i="6"/>
  <c r="I174" i="6"/>
  <c r="F174" i="6"/>
  <c r="I104" i="6"/>
  <c r="E172" i="6"/>
  <c r="E171" i="6"/>
  <c r="K83" i="6"/>
  <c r="S80" i="6"/>
  <c r="H124" i="6"/>
  <c r="K128" i="6"/>
  <c r="S93" i="6"/>
  <c r="H188" i="6"/>
  <c r="F223" i="6"/>
  <c r="H93" i="6"/>
  <c r="R115" i="6"/>
  <c r="K198" i="6"/>
  <c r="E204" i="6"/>
  <c r="T93" i="6"/>
  <c r="H131" i="6"/>
  <c r="E177" i="6"/>
  <c r="K109" i="6"/>
  <c r="F198" i="6"/>
  <c r="F177" i="6"/>
  <c r="G209" i="6"/>
  <c r="H209" i="6" s="1"/>
  <c r="E209" i="6"/>
  <c r="F188" i="6"/>
  <c r="I173" i="6"/>
  <c r="K209" i="6"/>
  <c r="J173" i="6"/>
  <c r="L173" i="6" s="1"/>
  <c r="L109" i="6"/>
  <c r="R128" i="6"/>
  <c r="E173" i="6"/>
  <c r="I79" i="6"/>
  <c r="J188" i="6"/>
  <c r="R188" i="6" s="1"/>
  <c r="K90" i="6"/>
  <c r="F173" i="6"/>
  <c r="L85" i="6"/>
  <c r="H79" i="6"/>
  <c r="F209" i="6"/>
  <c r="R122" i="6"/>
  <c r="S122" i="6" s="1"/>
  <c r="E191" i="6"/>
  <c r="G191" i="6"/>
  <c r="I191" i="6" s="1"/>
  <c r="H122" i="6"/>
  <c r="K191" i="6"/>
  <c r="F191" i="6"/>
  <c r="F218" i="6"/>
  <c r="K211" i="6"/>
  <c r="L118" i="6"/>
  <c r="E211" i="6"/>
  <c r="J216" i="6"/>
  <c r="K216" i="6" s="1"/>
  <c r="J218" i="6"/>
  <c r="K218" i="6" s="1"/>
  <c r="G211" i="6"/>
  <c r="H211" i="6" s="1"/>
  <c r="J199" i="6"/>
  <c r="R199" i="6" s="1"/>
  <c r="T199" i="6" s="1"/>
  <c r="G216" i="6"/>
  <c r="I216" i="6" s="1"/>
  <c r="H199" i="6"/>
  <c r="I115" i="6"/>
  <c r="E199" i="6"/>
  <c r="R87" i="6"/>
  <c r="S87" i="6" s="1"/>
  <c r="U227" i="6"/>
  <c r="W227" i="6" s="1"/>
  <c r="F199" i="6"/>
  <c r="E227" i="6"/>
  <c r="F201" i="6"/>
  <c r="E217" i="6"/>
  <c r="I201" i="6"/>
  <c r="O227" i="6"/>
  <c r="Q227" i="6" s="1"/>
  <c r="L175" i="6"/>
  <c r="F227" i="6"/>
  <c r="J194" i="6"/>
  <c r="K194" i="6" s="1"/>
  <c r="F186" i="6"/>
  <c r="G194" i="6"/>
  <c r="H194" i="6" s="1"/>
  <c r="G175" i="6"/>
  <c r="R175" i="6" s="1"/>
  <c r="T175" i="6" s="1"/>
  <c r="E175" i="6"/>
  <c r="J201" i="6"/>
  <c r="R201" i="6" s="1"/>
  <c r="F194" i="6"/>
  <c r="F175" i="6"/>
  <c r="S86" i="6"/>
  <c r="K86" i="6"/>
  <c r="L86" i="6"/>
  <c r="J227" i="6"/>
  <c r="L227" i="6" s="1"/>
  <c r="E201" i="6"/>
  <c r="U228" i="6"/>
  <c r="V228" i="6" s="1"/>
  <c r="H219" i="6"/>
  <c r="K207" i="6"/>
  <c r="E183" i="6"/>
  <c r="G210" i="6"/>
  <c r="H210" i="6" s="1"/>
  <c r="E174" i="6"/>
  <c r="L215" i="6"/>
  <c r="T80" i="6"/>
  <c r="B40" i="1"/>
  <c r="F183" i="6"/>
  <c r="E210" i="6"/>
  <c r="F205" i="6"/>
  <c r="J174" i="6"/>
  <c r="L174" i="6" s="1"/>
  <c r="F210" i="6"/>
  <c r="E205" i="6"/>
  <c r="I183" i="6"/>
  <c r="H80" i="6"/>
  <c r="G205" i="6"/>
  <c r="I205" i="6" s="1"/>
  <c r="T104" i="6"/>
  <c r="F215" i="6"/>
  <c r="E208" i="6"/>
  <c r="S104" i="6"/>
  <c r="E215" i="6"/>
  <c r="I80" i="6"/>
  <c r="G215" i="6"/>
  <c r="I215" i="6" s="1"/>
  <c r="H104" i="6"/>
  <c r="S123" i="6"/>
  <c r="I131" i="6"/>
  <c r="H181" i="6"/>
  <c r="G228" i="6"/>
  <c r="H228" i="6" s="1"/>
  <c r="E188" i="6"/>
  <c r="S108" i="6"/>
  <c r="E198" i="6"/>
  <c r="E228" i="6"/>
  <c r="F228" i="6"/>
  <c r="T91" i="6"/>
  <c r="S91" i="6"/>
  <c r="K97" i="6"/>
  <c r="H105" i="6"/>
  <c r="R133" i="6"/>
  <c r="R95" i="6"/>
  <c r="I95" i="6"/>
  <c r="H95" i="6"/>
  <c r="R98" i="6"/>
  <c r="T98" i="6" s="1"/>
  <c r="L97" i="6"/>
  <c r="S96" i="6"/>
  <c r="H98" i="6"/>
  <c r="S105" i="6"/>
  <c r="L96" i="6"/>
  <c r="S97" i="6"/>
  <c r="T105" i="6"/>
  <c r="H106" i="6"/>
  <c r="R111" i="6"/>
  <c r="K111" i="6"/>
  <c r="H133" i="6"/>
  <c r="R116" i="6"/>
  <c r="L116" i="6"/>
  <c r="K116" i="6"/>
  <c r="S90" i="6"/>
  <c r="F206" i="6"/>
  <c r="T79" i="6"/>
  <c r="S79" i="6"/>
  <c r="E206" i="6"/>
  <c r="R85" i="6"/>
  <c r="T85" i="6" s="1"/>
  <c r="R117" i="6"/>
  <c r="T117" i="6" s="1"/>
  <c r="G198" i="6"/>
  <c r="R198" i="6" s="1"/>
  <c r="T198" i="6" s="1"/>
  <c r="K91" i="6"/>
  <c r="L91" i="6"/>
  <c r="E189" i="6"/>
  <c r="E170" i="6"/>
  <c r="J221" i="6"/>
  <c r="K118" i="6"/>
  <c r="J170" i="6"/>
  <c r="L170" i="6" s="1"/>
  <c r="G180" i="6"/>
  <c r="H180" i="6" s="1"/>
  <c r="E180" i="6"/>
  <c r="J195" i="6"/>
  <c r="L195" i="6" s="1"/>
  <c r="F180" i="6"/>
  <c r="F221" i="6"/>
  <c r="T118" i="6"/>
  <c r="S118" i="6"/>
  <c r="E195" i="6"/>
  <c r="E221" i="6"/>
  <c r="H221" i="6"/>
  <c r="F195" i="6"/>
  <c r="R106" i="6"/>
  <c r="T106" i="6" s="1"/>
  <c r="J192" i="6"/>
  <c r="G192" i="6"/>
  <c r="L81" i="6"/>
  <c r="R81" i="6"/>
  <c r="I94" i="6"/>
  <c r="R94" i="6"/>
  <c r="H94" i="6"/>
  <c r="R99" i="6"/>
  <c r="I99" i="6"/>
  <c r="H99" i="6"/>
  <c r="J213" i="6"/>
  <c r="G213" i="6"/>
  <c r="H130" i="6"/>
  <c r="F189" i="6"/>
  <c r="K117" i="6"/>
  <c r="L117" i="6"/>
  <c r="R130" i="6"/>
  <c r="R126" i="6"/>
  <c r="H126" i="6"/>
  <c r="I85" i="6"/>
  <c r="R107" i="6"/>
  <c r="I107" i="6"/>
  <c r="H107" i="6"/>
  <c r="G189" i="6"/>
  <c r="R189" i="6" s="1"/>
  <c r="T189" i="6" s="1"/>
  <c r="H85" i="6"/>
  <c r="J206" i="6"/>
  <c r="L206" i="6" s="1"/>
  <c r="F184" i="6"/>
  <c r="E184" i="6"/>
  <c r="K130" i="6"/>
  <c r="L130" i="6"/>
  <c r="G184" i="6"/>
  <c r="H184" i="6" s="1"/>
  <c r="J204" i="6"/>
  <c r="G204" i="6"/>
  <c r="L184" i="6"/>
  <c r="G208" i="6"/>
  <c r="J208" i="6"/>
  <c r="I219" i="6"/>
  <c r="E214" i="6"/>
  <c r="K88" i="6"/>
  <c r="L88" i="6"/>
  <c r="R88" i="6"/>
  <c r="E224" i="6"/>
  <c r="K224" i="6"/>
  <c r="J181" i="6"/>
  <c r="R181" i="6" s="1"/>
  <c r="E181" i="6"/>
  <c r="F181" i="6"/>
  <c r="G224" i="6"/>
  <c r="F224" i="6"/>
  <c r="R169" i="6"/>
  <c r="K169" i="6"/>
  <c r="J185" i="6"/>
  <c r="G185" i="6"/>
  <c r="K189" i="6"/>
  <c r="F185" i="6"/>
  <c r="G187" i="6"/>
  <c r="J187" i="6"/>
  <c r="G217" i="6"/>
  <c r="J217" i="6"/>
  <c r="J186" i="6"/>
  <c r="G186" i="6"/>
  <c r="G223" i="6"/>
  <c r="J223" i="6"/>
  <c r="G172" i="6"/>
  <c r="J172" i="6"/>
  <c r="J214" i="6"/>
  <c r="G214" i="6"/>
  <c r="L228" i="6"/>
  <c r="S121" i="6"/>
  <c r="T121" i="6"/>
  <c r="I137" i="6"/>
  <c r="H137" i="6"/>
  <c r="K178" i="6"/>
  <c r="L178" i="6"/>
  <c r="R178" i="6"/>
  <c r="Q226" i="6"/>
  <c r="P226" i="6"/>
  <c r="J137" i="6"/>
  <c r="I225" i="6"/>
  <c r="H225" i="6"/>
  <c r="T125" i="6"/>
  <c r="S125" i="6"/>
  <c r="W226" i="6"/>
  <c r="V226" i="6"/>
  <c r="S84" i="6"/>
  <c r="T84" i="6"/>
  <c r="L210" i="6"/>
  <c r="K210" i="6"/>
  <c r="W225" i="6"/>
  <c r="V225" i="6"/>
  <c r="H177" i="6"/>
  <c r="I177" i="6"/>
  <c r="F137" i="6"/>
  <c r="E137" i="6"/>
  <c r="Q225" i="6"/>
  <c r="P225" i="6"/>
  <c r="I220" i="6"/>
  <c r="H220" i="6"/>
  <c r="W137" i="6"/>
  <c r="V137" i="6"/>
  <c r="K212" i="6"/>
  <c r="T132" i="6"/>
  <c r="S132" i="6"/>
  <c r="Q137" i="6"/>
  <c r="P137" i="6"/>
  <c r="K180" i="6"/>
  <c r="L180" i="6"/>
  <c r="I182" i="6"/>
  <c r="H182" i="6"/>
  <c r="S131" i="6"/>
  <c r="T131" i="6"/>
  <c r="T127" i="6"/>
  <c r="S127" i="6"/>
  <c r="S112" i="6"/>
  <c r="T112" i="6"/>
  <c r="I227" i="6"/>
  <c r="H227" i="6"/>
  <c r="K190" i="6" l="1"/>
  <c r="I202" i="6"/>
  <c r="L190" i="6"/>
  <c r="L182" i="6"/>
  <c r="S219" i="6"/>
  <c r="H179" i="6"/>
  <c r="I179" i="6"/>
  <c r="S179" i="6"/>
  <c r="AC47" i="6"/>
  <c r="AD47" i="6" s="1"/>
  <c r="AC46" i="6"/>
  <c r="AD46" i="6" s="1"/>
  <c r="T89" i="6"/>
  <c r="S102" i="6"/>
  <c r="S202" i="6"/>
  <c r="L196" i="6"/>
  <c r="R177" i="6"/>
  <c r="T177" i="6" s="1"/>
  <c r="Q228" i="6"/>
  <c r="B207" i="2"/>
  <c r="S135" i="6"/>
  <c r="S82" i="6"/>
  <c r="K177" i="6"/>
  <c r="S203" i="6"/>
  <c r="I226" i="6"/>
  <c r="R182" i="6"/>
  <c r="T182" i="6" s="1"/>
  <c r="K220" i="6"/>
  <c r="I209" i="6"/>
  <c r="L220" i="6"/>
  <c r="S120" i="6"/>
  <c r="R176" i="6"/>
  <c r="S176" i="6" s="1"/>
  <c r="L203" i="6"/>
  <c r="K203" i="6"/>
  <c r="T203" i="6"/>
  <c r="K176" i="6"/>
  <c r="I212" i="6"/>
  <c r="T120" i="6"/>
  <c r="H202" i="6"/>
  <c r="R228" i="6"/>
  <c r="S228" i="6" s="1"/>
  <c r="S199" i="6"/>
  <c r="K227" i="6"/>
  <c r="R226" i="6"/>
  <c r="L193" i="6"/>
  <c r="T113" i="6"/>
  <c r="I228" i="6"/>
  <c r="R171" i="6"/>
  <c r="T171" i="6" s="1"/>
  <c r="T201" i="6"/>
  <c r="R193" i="6"/>
  <c r="T193" i="6" s="1"/>
  <c r="K171" i="6"/>
  <c r="S201" i="6"/>
  <c r="W228" i="6"/>
  <c r="T122" i="6"/>
  <c r="R196" i="6"/>
  <c r="S196" i="6" s="1"/>
  <c r="R209" i="6"/>
  <c r="H207" i="6"/>
  <c r="I207" i="6"/>
  <c r="L183" i="6"/>
  <c r="R225" i="6"/>
  <c r="T225" i="6" s="1"/>
  <c r="K225" i="6"/>
  <c r="T129" i="6"/>
  <c r="S129" i="6"/>
  <c r="S98" i="6"/>
  <c r="R191" i="6"/>
  <c r="S191" i="6" s="1"/>
  <c r="I197" i="6"/>
  <c r="R215" i="6"/>
  <c r="S215" i="6" s="1"/>
  <c r="K201" i="6"/>
  <c r="L201" i="6"/>
  <c r="H215" i="6"/>
  <c r="R222" i="6"/>
  <c r="S222" i="6" s="1"/>
  <c r="H197" i="6"/>
  <c r="I222" i="6"/>
  <c r="H222" i="6"/>
  <c r="L188" i="6"/>
  <c r="L200" i="6"/>
  <c r="L222" i="6"/>
  <c r="T115" i="6"/>
  <c r="I218" i="6"/>
  <c r="R173" i="6"/>
  <c r="S173" i="6" s="1"/>
  <c r="R200" i="6"/>
  <c r="K173" i="6"/>
  <c r="S115" i="6"/>
  <c r="S83" i="6"/>
  <c r="R212" i="6"/>
  <c r="T212" i="6" s="1"/>
  <c r="K188" i="6"/>
  <c r="H191" i="6"/>
  <c r="S183" i="6"/>
  <c r="K183" i="6"/>
  <c r="T183" i="6"/>
  <c r="T87" i="6"/>
  <c r="K199" i="6"/>
  <c r="L218" i="6"/>
  <c r="I194" i="6"/>
  <c r="V227" i="6"/>
  <c r="H216" i="6"/>
  <c r="T128" i="6"/>
  <c r="P227" i="6"/>
  <c r="L199" i="6"/>
  <c r="S128" i="6"/>
  <c r="R195" i="6"/>
  <c r="S195" i="6" s="1"/>
  <c r="L216" i="6"/>
  <c r="R227" i="6"/>
  <c r="R211" i="6"/>
  <c r="S211" i="6" s="1"/>
  <c r="R218" i="6"/>
  <c r="T218" i="6" s="1"/>
  <c r="I189" i="6"/>
  <c r="H189" i="6"/>
  <c r="I211" i="6"/>
  <c r="R216" i="6"/>
  <c r="T133" i="6"/>
  <c r="H198" i="6"/>
  <c r="I175" i="6"/>
  <c r="K174" i="6"/>
  <c r="I180" i="6"/>
  <c r="H205" i="6"/>
  <c r="R194" i="6"/>
  <c r="S194" i="6" s="1"/>
  <c r="L194" i="6"/>
  <c r="R205" i="6"/>
  <c r="R210" i="6"/>
  <c r="R180" i="6"/>
  <c r="T180" i="6" s="1"/>
  <c r="I210" i="6"/>
  <c r="R174" i="6"/>
  <c r="S175" i="6"/>
  <c r="H175" i="6"/>
  <c r="S117" i="6"/>
  <c r="S133" i="6"/>
  <c r="S95" i="6"/>
  <c r="T95" i="6"/>
  <c r="S111" i="6"/>
  <c r="T111" i="6"/>
  <c r="S116" i="6"/>
  <c r="T116" i="6"/>
  <c r="K195" i="6"/>
  <c r="T130" i="6"/>
  <c r="S189" i="6"/>
  <c r="S85" i="6"/>
  <c r="S130" i="6"/>
  <c r="I198" i="6"/>
  <c r="S198" i="6"/>
  <c r="S169" i="6"/>
  <c r="R170" i="6"/>
  <c r="T170" i="6" s="1"/>
  <c r="K170" i="6"/>
  <c r="L181" i="6"/>
  <c r="S106" i="6"/>
  <c r="L221" i="6"/>
  <c r="R221" i="6"/>
  <c r="R206" i="6"/>
  <c r="T206" i="6" s="1"/>
  <c r="K206" i="6"/>
  <c r="K221" i="6"/>
  <c r="T99" i="6"/>
  <c r="S99" i="6"/>
  <c r="S94" i="6"/>
  <c r="T94" i="6"/>
  <c r="I213" i="6"/>
  <c r="H213" i="6"/>
  <c r="T81" i="6"/>
  <c r="S81" i="6"/>
  <c r="R213" i="6"/>
  <c r="L213" i="6"/>
  <c r="K213" i="6"/>
  <c r="H192" i="6"/>
  <c r="I192" i="6"/>
  <c r="K192" i="6"/>
  <c r="R192" i="6"/>
  <c r="L192" i="6"/>
  <c r="S126" i="6"/>
  <c r="T126" i="6"/>
  <c r="T107" i="6"/>
  <c r="S107" i="6"/>
  <c r="I184" i="6"/>
  <c r="K181" i="6"/>
  <c r="L208" i="6"/>
  <c r="K208" i="6"/>
  <c r="R208" i="6"/>
  <c r="H208" i="6"/>
  <c r="I208" i="6"/>
  <c r="R184" i="6"/>
  <c r="I204" i="6"/>
  <c r="H204" i="6"/>
  <c r="R204" i="6"/>
  <c r="K204" i="6"/>
  <c r="L204" i="6"/>
  <c r="T88" i="6"/>
  <c r="S88" i="6"/>
  <c r="I224" i="6"/>
  <c r="H224" i="6"/>
  <c r="R224" i="6"/>
  <c r="T169" i="6"/>
  <c r="I172" i="6"/>
  <c r="H172" i="6"/>
  <c r="I187" i="6"/>
  <c r="H187" i="6"/>
  <c r="R223" i="6"/>
  <c r="K223" i="6"/>
  <c r="L223" i="6"/>
  <c r="I223" i="6"/>
  <c r="H223" i="6"/>
  <c r="I186" i="6"/>
  <c r="H186" i="6"/>
  <c r="H185" i="6"/>
  <c r="I185" i="6"/>
  <c r="L186" i="6"/>
  <c r="R186" i="6"/>
  <c r="K186" i="6"/>
  <c r="L185" i="6"/>
  <c r="K185" i="6"/>
  <c r="R185" i="6"/>
  <c r="I214" i="6"/>
  <c r="H214" i="6"/>
  <c r="L217" i="6"/>
  <c r="R217" i="6"/>
  <c r="K217" i="6"/>
  <c r="L214" i="6"/>
  <c r="K214" i="6"/>
  <c r="R214" i="6"/>
  <c r="H217" i="6"/>
  <c r="I217" i="6"/>
  <c r="R172" i="6"/>
  <c r="L172" i="6"/>
  <c r="K172" i="6"/>
  <c r="L187" i="6"/>
  <c r="K187" i="6"/>
  <c r="R187" i="6"/>
  <c r="K137" i="6"/>
  <c r="L137" i="6"/>
  <c r="R137" i="6"/>
  <c r="S178" i="6"/>
  <c r="T178" i="6"/>
  <c r="T190" i="6"/>
  <c r="S190" i="6"/>
  <c r="T181" i="6"/>
  <c r="S181" i="6"/>
  <c r="T197" i="6"/>
  <c r="S197" i="6"/>
  <c r="S188" i="6"/>
  <c r="T188" i="6"/>
  <c r="S207" i="6"/>
  <c r="T207" i="6"/>
  <c r="T220" i="6"/>
  <c r="S220" i="6"/>
  <c r="S177" i="6" l="1"/>
  <c r="T176" i="6"/>
  <c r="T228" i="6"/>
  <c r="S182" i="6"/>
  <c r="T215" i="6"/>
  <c r="S171" i="6"/>
  <c r="S209" i="6"/>
  <c r="T196" i="6"/>
  <c r="S193" i="6"/>
  <c r="T209" i="6"/>
  <c r="T191" i="6"/>
  <c r="S226" i="6"/>
  <c r="T226" i="6"/>
  <c r="S200" i="6"/>
  <c r="T200" i="6"/>
  <c r="T173" i="6"/>
  <c r="S225" i="6"/>
  <c r="S174" i="6"/>
  <c r="S212" i="6"/>
  <c r="T222" i="6"/>
  <c r="T227" i="6"/>
  <c r="S227" i="6"/>
  <c r="T174" i="6"/>
  <c r="S218" i="6"/>
  <c r="T194" i="6"/>
  <c r="S216" i="6"/>
  <c r="T195" i="6"/>
  <c r="T216" i="6"/>
  <c r="S210" i="6"/>
  <c r="S170" i="6"/>
  <c r="S180" i="6"/>
  <c r="T211" i="6"/>
  <c r="T210" i="6"/>
  <c r="S205" i="6"/>
  <c r="T205" i="6"/>
  <c r="T221" i="6"/>
  <c r="S221" i="6"/>
  <c r="S206" i="6"/>
  <c r="T213" i="6"/>
  <c r="S213" i="6"/>
  <c r="T192" i="6"/>
  <c r="S192" i="6"/>
  <c r="T184" i="6"/>
  <c r="S184" i="6"/>
  <c r="T208" i="6"/>
  <c r="S208" i="6"/>
  <c r="T204" i="6"/>
  <c r="S204" i="6"/>
  <c r="T224" i="6"/>
  <c r="S224" i="6"/>
  <c r="B244" i="2" s="1"/>
  <c r="B247" i="2" s="1"/>
  <c r="T217" i="6"/>
  <c r="S217" i="6"/>
  <c r="S186" i="6"/>
  <c r="T186" i="6"/>
  <c r="T172" i="6"/>
  <c r="S172" i="6"/>
  <c r="S223" i="6"/>
  <c r="T223" i="6"/>
  <c r="T187" i="6"/>
  <c r="S187" i="6"/>
  <c r="T214" i="6"/>
  <c r="S214" i="6"/>
  <c r="T185" i="6"/>
  <c r="S185" i="6"/>
  <c r="S137" i="6"/>
  <c r="T137" i="6"/>
  <c r="B249" i="2" l="1"/>
  <c r="B251" i="2"/>
  <c r="X173" i="6"/>
  <c r="Y173" i="6" s="1"/>
  <c r="X108" i="6"/>
  <c r="Y108" i="6" s="1"/>
  <c r="X126" i="6"/>
  <c r="Y126" i="6" s="1"/>
  <c r="X81" i="6"/>
  <c r="Y81" i="6" s="1"/>
  <c r="X176" i="6"/>
  <c r="Y176" i="6" s="1"/>
  <c r="X124" i="6"/>
  <c r="Y124" i="6" s="1"/>
  <c r="AA124" i="6" s="1"/>
  <c r="X190" i="6"/>
  <c r="Y190" i="6" s="1"/>
  <c r="AA190" i="6" s="1"/>
  <c r="X179" i="6"/>
  <c r="Y179" i="6" s="1"/>
  <c r="Z179" i="6" s="1"/>
  <c r="X199" i="6"/>
  <c r="Y199" i="6" s="1"/>
  <c r="AA199" i="6" s="1"/>
  <c r="X96" i="6"/>
  <c r="Y96" i="6" s="1"/>
  <c r="Z96" i="6" s="1"/>
  <c r="X106" i="6"/>
  <c r="Y106" i="6" s="1"/>
  <c r="Z106" i="6" s="1"/>
  <c r="X209" i="6"/>
  <c r="Y209" i="6" s="1"/>
  <c r="Z209" i="6" s="1"/>
  <c r="X109" i="6"/>
  <c r="Y109" i="6" s="1"/>
  <c r="AA109" i="6" s="1"/>
  <c r="X79" i="6"/>
  <c r="Y79" i="6" s="1"/>
  <c r="AA79" i="6" s="1"/>
  <c r="X211" i="6"/>
  <c r="Y211" i="6" s="1"/>
  <c r="AA211" i="6" s="1"/>
  <c r="X135" i="6"/>
  <c r="Y135" i="6" s="1"/>
  <c r="Z135" i="6" s="1"/>
  <c r="X222" i="6"/>
  <c r="Y222" i="6" s="1"/>
  <c r="Z222" i="6" s="1"/>
  <c r="X206" i="6"/>
  <c r="Y206" i="6" s="1"/>
  <c r="X201" i="6"/>
  <c r="Y201" i="6" s="1"/>
  <c r="Z173" i="6" l="1"/>
  <c r="AA173" i="6"/>
  <c r="AA206" i="6"/>
  <c r="Z206" i="6"/>
  <c r="AA81" i="6"/>
  <c r="Z81" i="6"/>
  <c r="AA126" i="6"/>
  <c r="Z126" i="6"/>
  <c r="Z176" i="6"/>
  <c r="AA176" i="6"/>
  <c r="Z108" i="6"/>
  <c r="AA108" i="6"/>
  <c r="AA201" i="6"/>
  <c r="Z201" i="6"/>
  <c r="Z211" i="6"/>
  <c r="X80" i="6"/>
  <c r="Y80" i="6" s="1"/>
  <c r="X172" i="6"/>
  <c r="Y172" i="6" s="1"/>
  <c r="Z199" i="6"/>
  <c r="X189" i="6"/>
  <c r="Y189" i="6" s="1"/>
  <c r="X210" i="6"/>
  <c r="Y210" i="6" s="1"/>
  <c r="AA106" i="6"/>
  <c r="X91" i="6"/>
  <c r="Y91" i="6" s="1"/>
  <c r="X125" i="6"/>
  <c r="Y125" i="6" s="1"/>
  <c r="X133" i="6"/>
  <c r="Y133" i="6" s="1"/>
  <c r="X196" i="6"/>
  <c r="Y196" i="6" s="1"/>
  <c r="AA209" i="6"/>
  <c r="X213" i="6"/>
  <c r="Y213" i="6" s="1"/>
  <c r="X95" i="6"/>
  <c r="Y95" i="6" s="1"/>
  <c r="X113" i="6"/>
  <c r="Y113" i="6" s="1"/>
  <c r="X93" i="6"/>
  <c r="Y93" i="6" s="1"/>
  <c r="X117" i="6"/>
  <c r="Y117" i="6" s="1"/>
  <c r="X94" i="6"/>
  <c r="Y94" i="6" s="1"/>
  <c r="X112" i="6"/>
  <c r="Y112" i="6" s="1"/>
  <c r="X214" i="6"/>
  <c r="Y214" i="6" s="1"/>
  <c r="X194" i="6"/>
  <c r="Y194" i="6" s="1"/>
  <c r="X104" i="6"/>
  <c r="Y104" i="6" s="1"/>
  <c r="X187" i="6"/>
  <c r="Y187" i="6" s="1"/>
  <c r="X101" i="6"/>
  <c r="Y101" i="6" s="1"/>
  <c r="X127" i="6"/>
  <c r="Y127" i="6" s="1"/>
  <c r="X123" i="6"/>
  <c r="Y123" i="6" s="1"/>
  <c r="X137" i="6"/>
  <c r="Y137" i="6" s="1"/>
  <c r="X221" i="6"/>
  <c r="Y221" i="6" s="1"/>
  <c r="X188" i="6"/>
  <c r="Y188" i="6" s="1"/>
  <c r="X219" i="6"/>
  <c r="Y219" i="6" s="1"/>
  <c r="X177" i="6"/>
  <c r="Y177" i="6" s="1"/>
  <c r="X193" i="6"/>
  <c r="Y193" i="6" s="1"/>
  <c r="X184" i="6"/>
  <c r="Y184" i="6" s="1"/>
  <c r="X132" i="6"/>
  <c r="Y132" i="6" s="1"/>
  <c r="Z190" i="6"/>
  <c r="Z79" i="6"/>
  <c r="X119" i="6"/>
  <c r="Y119" i="6" s="1"/>
  <c r="X98" i="6"/>
  <c r="Y98" i="6" s="1"/>
  <c r="X89" i="6"/>
  <c r="Y89" i="6" s="1"/>
  <c r="AA179" i="6"/>
  <c r="X170" i="6"/>
  <c r="Y170" i="6" s="1"/>
  <c r="X111" i="6"/>
  <c r="Y111" i="6" s="1"/>
  <c r="X200" i="6"/>
  <c r="Y200" i="6" s="1"/>
  <c r="X202" i="6"/>
  <c r="Y202" i="6" s="1"/>
  <c r="X204" i="6"/>
  <c r="Y204" i="6" s="1"/>
  <c r="X181" i="6"/>
  <c r="Y181" i="6" s="1"/>
  <c r="X134" i="6"/>
  <c r="Y134" i="6" s="1"/>
  <c r="X220" i="6"/>
  <c r="Y220" i="6" s="1"/>
  <c r="X171" i="6"/>
  <c r="Y171" i="6" s="1"/>
  <c r="X115" i="6"/>
  <c r="Y115" i="6" s="1"/>
  <c r="X227" i="6"/>
  <c r="Y227" i="6" s="1"/>
  <c r="X130" i="6"/>
  <c r="Y130" i="6" s="1"/>
  <c r="X183" i="6"/>
  <c r="Y183" i="6" s="1"/>
  <c r="X116" i="6"/>
  <c r="Y116" i="6" s="1"/>
  <c r="X105" i="6"/>
  <c r="Y105" i="6" s="1"/>
  <c r="X207" i="6"/>
  <c r="Y207" i="6" s="1"/>
  <c r="X87" i="6"/>
  <c r="Y87" i="6" s="1"/>
  <c r="X103" i="6"/>
  <c r="Y103" i="6" s="1"/>
  <c r="X198" i="6"/>
  <c r="Y198" i="6" s="1"/>
  <c r="X128" i="6"/>
  <c r="Y128" i="6" s="1"/>
  <c r="Z124" i="6"/>
  <c r="X131" i="6"/>
  <c r="Y131" i="6" s="1"/>
  <c r="X192" i="6"/>
  <c r="Y192" i="6" s="1"/>
  <c r="X114" i="6"/>
  <c r="Y114" i="6" s="1"/>
  <c r="AA96" i="6"/>
  <c r="X203" i="6"/>
  <c r="Y203" i="6" s="1"/>
  <c r="X82" i="6"/>
  <c r="Y82" i="6" s="1"/>
  <c r="Z109" i="6"/>
  <c r="X99" i="6"/>
  <c r="Y99" i="6" s="1"/>
  <c r="X191" i="6"/>
  <c r="Y191" i="6" s="1"/>
  <c r="X136" i="6"/>
  <c r="Y136" i="6" s="1"/>
  <c r="X97" i="6"/>
  <c r="Y97" i="6" s="1"/>
  <c r="X186" i="6"/>
  <c r="Y186" i="6" s="1"/>
  <c r="X84" i="6"/>
  <c r="Y84" i="6" s="1"/>
  <c r="B257" i="2"/>
  <c r="X215" i="6"/>
  <c r="Y215" i="6" s="1"/>
  <c r="X182" i="6"/>
  <c r="Y182" i="6" s="1"/>
  <c r="X110" i="6"/>
  <c r="Y110" i="6" s="1"/>
  <c r="X122" i="6"/>
  <c r="Y122" i="6" s="1"/>
  <c r="X121" i="6"/>
  <c r="Y121" i="6" s="1"/>
  <c r="X120" i="6"/>
  <c r="Y120" i="6" s="1"/>
  <c r="X178" i="6"/>
  <c r="Y178" i="6" s="1"/>
  <c r="X169" i="6"/>
  <c r="Y169" i="6" s="1"/>
  <c r="X90" i="6"/>
  <c r="Y90" i="6" s="1"/>
  <c r="X195" i="6"/>
  <c r="Y195" i="6" s="1"/>
  <c r="X217" i="6"/>
  <c r="Y217" i="6" s="1"/>
  <c r="X92" i="6"/>
  <c r="Y92" i="6" s="1"/>
  <c r="X88" i="6"/>
  <c r="Y88" i="6" s="1"/>
  <c r="X197" i="6"/>
  <c r="Y197" i="6" s="1"/>
  <c r="X218" i="6"/>
  <c r="Y218" i="6" s="1"/>
  <c r="X83" i="6"/>
  <c r="Y83" i="6" s="1"/>
  <c r="X85" i="6"/>
  <c r="Y85" i="6" s="1"/>
  <c r="X225" i="6"/>
  <c r="Y225" i="6" s="1"/>
  <c r="X205" i="6"/>
  <c r="Y205" i="6" s="1"/>
  <c r="AA135" i="6"/>
  <c r="AA222" i="6"/>
  <c r="X208" i="6"/>
  <c r="Y208" i="6" s="1"/>
  <c r="X107" i="6"/>
  <c r="Y107" i="6" s="1"/>
  <c r="X129" i="6"/>
  <c r="Y129" i="6" s="1"/>
  <c r="X228" i="6"/>
  <c r="Y228" i="6" s="1"/>
  <c r="X224" i="6"/>
  <c r="Y224" i="6" s="1"/>
  <c r="X174" i="6"/>
  <c r="Y174" i="6" s="1"/>
  <c r="X100" i="6"/>
  <c r="Y100" i="6" s="1"/>
  <c r="X212" i="6"/>
  <c r="Y212" i="6" s="1"/>
  <c r="X216" i="6"/>
  <c r="Y216" i="6" s="1"/>
  <c r="X180" i="6"/>
  <c r="Y180" i="6" s="1"/>
  <c r="X86" i="6"/>
  <c r="Y86" i="6" s="1"/>
  <c r="X185" i="6"/>
  <c r="Y185" i="6" s="1"/>
  <c r="X226" i="6"/>
  <c r="Y226" i="6" s="1"/>
  <c r="X102" i="6"/>
  <c r="Y102" i="6" s="1"/>
  <c r="X118" i="6"/>
  <c r="Y118" i="6" s="1"/>
  <c r="X223" i="6"/>
  <c r="Y223" i="6" s="1"/>
  <c r="X175" i="6"/>
  <c r="Y175" i="6" s="1"/>
  <c r="Z208" i="6" l="1"/>
  <c r="AA208" i="6"/>
  <c r="AA180" i="6"/>
  <c r="Z180" i="6"/>
  <c r="AA107" i="6"/>
  <c r="Z107" i="6"/>
  <c r="Z218" i="6"/>
  <c r="AA218" i="6"/>
  <c r="AA178" i="6"/>
  <c r="Z178" i="6"/>
  <c r="Z84" i="6"/>
  <c r="AA84" i="6"/>
  <c r="Z203" i="6"/>
  <c r="AA203" i="6"/>
  <c r="Z103" i="6"/>
  <c r="AA103" i="6"/>
  <c r="AA115" i="6"/>
  <c r="Z115" i="6"/>
  <c r="Z111" i="6"/>
  <c r="AA111" i="6"/>
  <c r="AA132" i="6"/>
  <c r="Z132" i="6"/>
  <c r="AA123" i="6"/>
  <c r="Z123" i="6"/>
  <c r="Z94" i="6"/>
  <c r="AA94" i="6"/>
  <c r="AA133" i="6"/>
  <c r="Z133" i="6"/>
  <c r="AA80" i="6"/>
  <c r="Z80" i="6"/>
  <c r="AA197" i="6"/>
  <c r="Z197" i="6"/>
  <c r="AA87" i="6"/>
  <c r="Z87" i="6"/>
  <c r="AA171" i="6"/>
  <c r="Z171" i="6"/>
  <c r="Z170" i="6"/>
  <c r="AA170" i="6"/>
  <c r="AA184" i="6"/>
  <c r="Z184" i="6"/>
  <c r="AA127" i="6"/>
  <c r="Z127" i="6"/>
  <c r="Z117" i="6"/>
  <c r="AA117" i="6"/>
  <c r="AA125" i="6"/>
  <c r="Z125" i="6"/>
  <c r="Z120" i="6"/>
  <c r="AA120" i="6"/>
  <c r="AA223" i="6"/>
  <c r="Z223" i="6"/>
  <c r="AA88" i="6"/>
  <c r="Z88" i="6"/>
  <c r="Z121" i="6"/>
  <c r="AA121" i="6"/>
  <c r="AA97" i="6"/>
  <c r="Z97" i="6"/>
  <c r="Z114" i="6"/>
  <c r="AA114" i="6"/>
  <c r="Z207" i="6"/>
  <c r="AA207" i="6"/>
  <c r="AA220" i="6"/>
  <c r="Z220" i="6"/>
  <c r="Z193" i="6"/>
  <c r="AA193" i="6"/>
  <c r="Z101" i="6"/>
  <c r="AA101" i="6"/>
  <c r="Z93" i="6"/>
  <c r="AA93" i="6"/>
  <c r="AA91" i="6"/>
  <c r="Z91" i="6"/>
  <c r="Z216" i="6"/>
  <c r="AA216" i="6"/>
  <c r="Z186" i="6"/>
  <c r="AA186" i="6"/>
  <c r="AA212" i="6"/>
  <c r="Z212" i="6"/>
  <c r="AA118" i="6"/>
  <c r="Z118" i="6"/>
  <c r="Z100" i="6"/>
  <c r="AA100" i="6"/>
  <c r="AA92" i="6"/>
  <c r="Z92" i="6"/>
  <c r="AA122" i="6"/>
  <c r="Z122" i="6"/>
  <c r="AA136" i="6"/>
  <c r="Z136" i="6"/>
  <c r="AA192" i="6"/>
  <c r="Z192" i="6"/>
  <c r="AA105" i="6"/>
  <c r="Z105" i="6"/>
  <c r="Z134" i="6"/>
  <c r="AA134" i="6"/>
  <c r="AA89" i="6"/>
  <c r="Z89" i="6"/>
  <c r="Z177" i="6"/>
  <c r="AA177" i="6"/>
  <c r="AA187" i="6"/>
  <c r="Z187" i="6"/>
  <c r="Z113" i="6"/>
  <c r="AA113" i="6"/>
  <c r="Z175" i="6"/>
  <c r="AA175" i="6"/>
  <c r="AA102" i="6"/>
  <c r="Z102" i="6"/>
  <c r="AA174" i="6"/>
  <c r="Z174" i="6"/>
  <c r="AA205" i="6"/>
  <c r="Z205" i="6"/>
  <c r="AA217" i="6"/>
  <c r="Z217" i="6"/>
  <c r="Z110" i="6"/>
  <c r="AA110" i="6"/>
  <c r="Z191" i="6"/>
  <c r="AA191" i="6"/>
  <c r="Z131" i="6"/>
  <c r="AA131" i="6"/>
  <c r="Z116" i="6"/>
  <c r="AA116" i="6"/>
  <c r="AA181" i="6"/>
  <c r="Z181" i="6"/>
  <c r="AA98" i="6"/>
  <c r="Z98" i="6"/>
  <c r="AA219" i="6"/>
  <c r="Z219" i="6"/>
  <c r="Z104" i="6"/>
  <c r="AA104" i="6"/>
  <c r="AA95" i="6"/>
  <c r="Z95" i="6"/>
  <c r="Z210" i="6"/>
  <c r="AA210" i="6"/>
  <c r="AA226" i="6"/>
  <c r="Z226" i="6"/>
  <c r="AA195" i="6"/>
  <c r="Z195" i="6"/>
  <c r="Z183" i="6"/>
  <c r="AA183" i="6"/>
  <c r="Z204" i="6"/>
  <c r="AA204" i="6"/>
  <c r="Z119" i="6"/>
  <c r="AA119" i="6"/>
  <c r="Z188" i="6"/>
  <c r="AA188" i="6"/>
  <c r="Z194" i="6"/>
  <c r="AA194" i="6"/>
  <c r="Z213" i="6"/>
  <c r="AA213" i="6"/>
  <c r="AA189" i="6"/>
  <c r="Z189" i="6"/>
  <c r="AA224" i="6"/>
  <c r="Z224" i="6"/>
  <c r="AA182" i="6"/>
  <c r="Z182" i="6"/>
  <c r="Z185" i="6"/>
  <c r="AA185" i="6"/>
  <c r="AA228" i="6"/>
  <c r="Z228" i="6"/>
  <c r="Z85" i="6"/>
  <c r="AA85" i="6"/>
  <c r="AA90" i="6"/>
  <c r="Z90" i="6"/>
  <c r="AA215" i="6"/>
  <c r="Z215" i="6"/>
  <c r="Z128" i="6"/>
  <c r="AA128" i="6"/>
  <c r="Z130" i="6"/>
  <c r="AA130" i="6"/>
  <c r="AA202" i="6"/>
  <c r="Z202" i="6"/>
  <c r="Z221" i="6"/>
  <c r="AA221" i="6"/>
  <c r="Z214" i="6"/>
  <c r="AA214" i="6"/>
  <c r="AA225" i="6"/>
  <c r="Z225" i="6"/>
  <c r="AA99" i="6"/>
  <c r="Z99" i="6"/>
  <c r="Z86" i="6"/>
  <c r="AA86" i="6"/>
  <c r="Z129" i="6"/>
  <c r="AA129" i="6"/>
  <c r="AA83" i="6"/>
  <c r="Z83" i="6"/>
  <c r="Z169" i="6"/>
  <c r="AA169" i="6"/>
  <c r="Z82" i="6"/>
  <c r="AA82" i="6"/>
  <c r="AA198" i="6"/>
  <c r="Z198" i="6"/>
  <c r="AA227" i="6"/>
  <c r="Z227" i="6"/>
  <c r="Z200" i="6"/>
  <c r="AA200" i="6"/>
  <c r="AA137" i="6"/>
  <c r="Z137" i="6"/>
  <c r="AA112" i="6"/>
  <c r="Z112" i="6"/>
  <c r="AA196" i="6"/>
  <c r="Z196" i="6"/>
  <c r="AA172" i="6"/>
  <c r="Z172" i="6"/>
  <c r="AG129" i="6" l="1" a="1"/>
  <c r="AG129" i="6" s="1"/>
  <c r="AH129" i="6" a="1"/>
  <c r="AH129" i="6" s="1"/>
  <c r="AH218" i="6" a="1"/>
  <c r="AH218" i="6" s="1"/>
  <c r="AH217" i="6" a="1"/>
  <c r="AH217" i="6" s="1"/>
  <c r="AG218" i="6" a="1"/>
  <c r="AG218" i="6" s="1"/>
  <c r="AG217" i="6" a="1"/>
  <c r="AG217" i="6" s="1"/>
  <c r="AH216" i="6" a="1"/>
  <c r="AH216" i="6" s="1"/>
  <c r="AG216" i="6" a="1"/>
  <c r="AG216" i="6" s="1"/>
  <c r="AG127" i="6" a="1"/>
  <c r="AG127" i="6" s="1"/>
  <c r="AH127" i="6" a="1"/>
  <c r="AH127" i="6" s="1"/>
  <c r="AG128" i="6" a="1"/>
  <c r="AG128" i="6" s="1"/>
  <c r="AH128" i="6" a="1"/>
  <c r="AH128" i="6" s="1"/>
  <c r="AJ128" i="6" l="1"/>
  <c r="AK128" i="6" s="1"/>
  <c r="AJ129" i="6"/>
  <c r="AK129" i="6" s="1"/>
  <c r="AJ217" i="6"/>
  <c r="AK217" i="6" s="1"/>
  <c r="AJ218" i="6"/>
  <c r="AK218"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PPD-NPS</author>
    <author>Ji, Feng</author>
    <author>Cai, Yinsong</author>
  </authors>
  <commentList>
    <comment ref="G5" authorId="0" shapeId="0" xr:uid="{00000000-0006-0000-0000-000001000000}">
      <text>
        <r>
          <rPr>
            <b/>
            <sz val="9"/>
            <color indexed="81"/>
            <rFont val="Tahoma"/>
            <family val="2"/>
          </rPr>
          <t xml:space="preserve">Welcome to the LM5171 Quickstart Design Tool
</t>
        </r>
        <r>
          <rPr>
            <sz val="9"/>
            <color indexed="81"/>
            <rFont val="Tahoma"/>
            <family val="2"/>
          </rPr>
          <t>This stand-alone tool facilitates and assists the power supply engineer with design of a DC/DC bi-directional buck/boost converter based on the LM5171 controller.</t>
        </r>
        <r>
          <rPr>
            <b/>
            <sz val="9"/>
            <color indexed="81"/>
            <rFont val="Tahoma"/>
            <family val="2"/>
          </rPr>
          <t xml:space="preserve">
U.S. English notation is used throughout.
https://www.ti.com/product/LM5171-Q1
Texas Instruments, Inc.</t>
        </r>
        <r>
          <rPr>
            <sz val="9"/>
            <color indexed="81"/>
            <rFont val="Tahoma"/>
            <family val="2"/>
          </rPr>
          <t xml:space="preserve">
</t>
        </r>
      </text>
    </comment>
    <comment ref="B11" authorId="0" shapeId="0" xr:uid="{00000000-0006-0000-0000-000003000000}">
      <text>
        <r>
          <rPr>
            <b/>
            <sz val="9"/>
            <color indexed="81"/>
            <rFont val="Tahoma"/>
            <family val="2"/>
          </rPr>
          <t>HV Port Minimum Voltage:</t>
        </r>
        <r>
          <rPr>
            <sz val="9"/>
            <color indexed="81"/>
            <rFont val="Tahoma"/>
            <family val="2"/>
          </rPr>
          <t xml:space="preserve">
Datasheet Operating </t>
        </r>
        <r>
          <rPr>
            <b/>
            <sz val="9"/>
            <color indexed="81"/>
            <rFont val="Tahoma"/>
            <family val="2"/>
          </rPr>
          <t>Minimum: 3V</t>
        </r>
      </text>
    </comment>
    <comment ref="B12" authorId="0" shapeId="0" xr:uid="{00000000-0006-0000-0000-000004000000}">
      <text>
        <r>
          <rPr>
            <b/>
            <sz val="9"/>
            <color indexed="81"/>
            <rFont val="Tahoma"/>
            <family val="2"/>
          </rPr>
          <t xml:space="preserve">HV Port Nominal Voltage:
</t>
        </r>
        <r>
          <rPr>
            <sz val="9"/>
            <color indexed="81"/>
            <rFont val="Tahoma"/>
            <family val="2"/>
          </rPr>
          <t>This is the nominal INPUT voltage in BUCK MODE. 
It is also the set output voltage in BOOST MODE.</t>
        </r>
      </text>
    </comment>
    <comment ref="B13" authorId="0" shapeId="0" xr:uid="{00000000-0006-0000-0000-000005000000}">
      <text>
        <r>
          <rPr>
            <b/>
            <sz val="9"/>
            <color indexed="81"/>
            <rFont val="Tahoma"/>
            <family val="2"/>
          </rPr>
          <t xml:space="preserve">HV Port Maximum Voltage:
</t>
        </r>
        <r>
          <rPr>
            <sz val="9"/>
            <color indexed="81"/>
            <rFont val="Tahoma"/>
            <family val="2"/>
          </rPr>
          <t xml:space="preserve">Enter the expected Maximum voltage at the HV-Port
Recommended maximum operating voltage: 80V
(Do not go below the Datasheet Operating Minimum Voltages)
</t>
        </r>
      </text>
    </comment>
    <comment ref="B16" authorId="0" shapeId="0" xr:uid="{00000000-0006-0000-0000-000006000000}">
      <text>
        <r>
          <rPr>
            <b/>
            <sz val="9"/>
            <color indexed="81"/>
            <rFont val="Tahoma"/>
            <family val="2"/>
          </rPr>
          <t>LV Port Minimum Voltage:</t>
        </r>
        <r>
          <rPr>
            <sz val="9"/>
            <color indexed="81"/>
            <rFont val="Tahoma"/>
            <family val="2"/>
          </rPr>
          <t xml:space="preserve">
Enter the expected minimum voltage at the LV-Port
Datasheet Operating </t>
        </r>
        <r>
          <rPr>
            <b/>
            <u/>
            <sz val="9"/>
            <color indexed="81"/>
            <rFont val="Tahoma"/>
            <family val="2"/>
          </rPr>
          <t>Minimum</t>
        </r>
        <r>
          <rPr>
            <b/>
            <sz val="9"/>
            <color indexed="81"/>
            <rFont val="Tahoma"/>
            <family val="2"/>
          </rPr>
          <t xml:space="preserve"> (BOOST MODE): 1V</t>
        </r>
        <r>
          <rPr>
            <sz val="9"/>
            <color indexed="81"/>
            <rFont val="Tahoma"/>
            <family val="2"/>
          </rPr>
          <t xml:space="preserve">
Datasheet Operating </t>
        </r>
        <r>
          <rPr>
            <b/>
            <u/>
            <sz val="9"/>
            <color indexed="81"/>
            <rFont val="Tahoma"/>
            <family val="2"/>
          </rPr>
          <t>Minimum</t>
        </r>
        <r>
          <rPr>
            <b/>
            <sz val="9"/>
            <color indexed="81"/>
            <rFont val="Tahoma"/>
            <family val="2"/>
          </rPr>
          <t xml:space="preserve"> (BUCK MODE): 0V</t>
        </r>
        <r>
          <rPr>
            <sz val="9"/>
            <color indexed="81"/>
            <rFont val="Tahoma"/>
            <family val="2"/>
          </rPr>
          <t xml:space="preserve">
(Do not go below the Datasheet Operating Minimum Voltages)</t>
        </r>
      </text>
    </comment>
    <comment ref="B17" authorId="0" shapeId="0" xr:uid="{00000000-0006-0000-0000-000007000000}">
      <text>
        <r>
          <rPr>
            <b/>
            <sz val="9"/>
            <color indexed="81"/>
            <rFont val="Tahoma"/>
            <family val="2"/>
          </rPr>
          <t xml:space="preserve">LV Port Nominal Voltage:
</t>
        </r>
        <r>
          <rPr>
            <sz val="9"/>
            <color indexed="81"/>
            <rFont val="Tahoma"/>
            <family val="2"/>
          </rPr>
          <t xml:space="preserve">
This is the nominal input voltage in BOOST MODE. 
It is also the set output voltage in BUCK MODE.</t>
        </r>
      </text>
    </comment>
    <comment ref="B18" authorId="0" shapeId="0" xr:uid="{00000000-0006-0000-0000-000008000000}">
      <text>
        <r>
          <rPr>
            <b/>
            <sz val="9"/>
            <color indexed="81"/>
            <rFont val="Tahoma"/>
            <family val="2"/>
          </rPr>
          <t xml:space="preserve">LV Port Maximum Voltage:
</t>
        </r>
        <r>
          <rPr>
            <sz val="9"/>
            <color indexed="81"/>
            <rFont val="Tahoma"/>
            <family val="2"/>
          </rPr>
          <t>Enter the expected maximum voltage at the LV-Port</t>
        </r>
        <r>
          <rPr>
            <b/>
            <sz val="9"/>
            <color indexed="81"/>
            <rFont val="Tahoma"/>
            <family val="2"/>
          </rPr>
          <t xml:space="preserve">
</t>
        </r>
        <r>
          <rPr>
            <sz val="9"/>
            <color indexed="81"/>
            <rFont val="Tahoma"/>
            <family val="2"/>
          </rPr>
          <t>Recommended maximum operating voltage: 80V</t>
        </r>
      </text>
    </comment>
    <comment ref="B21" authorId="0" shapeId="0" xr:uid="{00000000-0006-0000-0000-000009000000}">
      <text>
        <r>
          <rPr>
            <b/>
            <sz val="9"/>
            <color indexed="81"/>
            <rFont val="Tahoma"/>
            <family val="2"/>
          </rPr>
          <t xml:space="preserve">Selected Switching Frequency:
</t>
        </r>
        <r>
          <rPr>
            <sz val="9"/>
            <color indexed="81"/>
            <rFont val="Tahoma"/>
            <family val="2"/>
          </rPr>
          <t>Recommended Operating</t>
        </r>
        <r>
          <rPr>
            <b/>
            <sz val="9"/>
            <color indexed="81"/>
            <rFont val="Tahoma"/>
            <family val="2"/>
          </rPr>
          <t xml:space="preserve"> </t>
        </r>
        <r>
          <rPr>
            <b/>
            <u/>
            <sz val="9"/>
            <color indexed="81"/>
            <rFont val="Tahoma"/>
            <family val="2"/>
          </rPr>
          <t>Minimum</t>
        </r>
        <r>
          <rPr>
            <sz val="9"/>
            <color indexed="81"/>
            <rFont val="Tahoma"/>
            <family val="2"/>
          </rPr>
          <t xml:space="preserve"> Switching Frequency: </t>
        </r>
        <r>
          <rPr>
            <b/>
            <sz val="9"/>
            <color indexed="81"/>
            <rFont val="Tahoma"/>
            <family val="2"/>
          </rPr>
          <t>50 kHz</t>
        </r>
        <r>
          <rPr>
            <sz val="9"/>
            <color indexed="81"/>
            <rFont val="Tahoma"/>
            <family val="2"/>
          </rPr>
          <t xml:space="preserve">
Recommended Operating </t>
        </r>
        <r>
          <rPr>
            <b/>
            <u/>
            <sz val="9"/>
            <color indexed="81"/>
            <rFont val="Tahoma"/>
            <family val="2"/>
          </rPr>
          <t>Maximum</t>
        </r>
        <r>
          <rPr>
            <b/>
            <sz val="9"/>
            <color indexed="81"/>
            <rFont val="Tahoma"/>
            <family val="2"/>
          </rPr>
          <t xml:space="preserve"> </t>
        </r>
        <r>
          <rPr>
            <sz val="9"/>
            <color indexed="81"/>
            <rFont val="Tahoma"/>
            <family val="2"/>
          </rPr>
          <t xml:space="preserve">Switching Frequency: </t>
        </r>
        <r>
          <rPr>
            <b/>
            <sz val="9"/>
            <color indexed="81"/>
            <rFont val="Tahoma"/>
            <family val="2"/>
          </rPr>
          <t>1000 kHz</t>
        </r>
        <r>
          <rPr>
            <sz val="9"/>
            <color indexed="81"/>
            <rFont val="Tahoma"/>
            <family val="2"/>
          </rPr>
          <t xml:space="preserve">
</t>
        </r>
      </text>
    </comment>
    <comment ref="B22" authorId="0" shapeId="0" xr:uid="{00000000-0006-0000-0000-00000A000000}">
      <text>
        <r>
          <rPr>
            <b/>
            <sz val="9"/>
            <color indexed="81"/>
            <rFont val="Tahoma"/>
            <family val="2"/>
          </rPr>
          <t>Oscillator Set Resistor (R</t>
        </r>
        <r>
          <rPr>
            <b/>
            <vertAlign val="subscript"/>
            <sz val="9"/>
            <color indexed="81"/>
            <rFont val="Tahoma"/>
            <family val="2"/>
          </rPr>
          <t>OSC</t>
        </r>
        <r>
          <rPr>
            <b/>
            <sz val="9"/>
            <color indexed="81"/>
            <rFont val="Tahoma"/>
            <family val="2"/>
          </rPr>
          <t xml:space="preserve">):
</t>
        </r>
        <r>
          <rPr>
            <sz val="9"/>
            <color indexed="81"/>
            <rFont val="Tahoma"/>
            <family val="2"/>
          </rPr>
          <t>This value is calculated based on the "</t>
        </r>
        <r>
          <rPr>
            <b/>
            <sz val="9"/>
            <color indexed="81"/>
            <rFont val="Tahoma"/>
            <family val="2"/>
          </rPr>
          <t>Selected Switching Frequency</t>
        </r>
        <r>
          <rPr>
            <sz val="9"/>
            <color indexed="81"/>
            <rFont val="Tahoma"/>
            <family val="2"/>
          </rPr>
          <t>"</t>
        </r>
        <r>
          <rPr>
            <b/>
            <sz val="9"/>
            <color indexed="81"/>
            <rFont val="Tahoma"/>
            <family val="2"/>
          </rPr>
          <t xml:space="preserve"> </t>
        </r>
        <r>
          <rPr>
            <sz val="9"/>
            <color indexed="81"/>
            <rFont val="Tahoma"/>
            <family val="2"/>
          </rPr>
          <t xml:space="preserve">
</t>
        </r>
      </text>
    </comment>
    <comment ref="B25" authorId="0" shapeId="0" xr:uid="{00000000-0006-0000-0000-00000B000000}">
      <text>
        <r>
          <rPr>
            <b/>
            <sz val="9"/>
            <color indexed="81"/>
            <rFont val="Tahoma"/>
            <family val="2"/>
          </rPr>
          <t xml:space="preserve">Total Number of Phases:
</t>
        </r>
        <r>
          <rPr>
            <sz val="9"/>
            <color indexed="81"/>
            <rFont val="Tahoma"/>
            <family val="2"/>
          </rPr>
          <t xml:space="preserve">
Input the total number of phases used during maximum current delivery.  
(More than two phases requires multiple LM5171's connected in parallel).
</t>
        </r>
      </text>
    </comment>
    <comment ref="B26" authorId="0" shapeId="0" xr:uid="{00000000-0006-0000-0000-00000C000000}">
      <text>
        <r>
          <rPr>
            <b/>
            <sz val="9"/>
            <color indexed="81"/>
            <rFont val="Tahoma"/>
            <family val="2"/>
          </rPr>
          <t xml:space="preserve">Total Maximum LV-Port Current:
</t>
        </r>
        <r>
          <rPr>
            <sz val="9"/>
            <color indexed="81"/>
            <rFont val="Tahoma"/>
            <family val="2"/>
          </rPr>
          <t xml:space="preserve">
Enter the maximum LV-Port current (The maximum current of output current for buck mode and input current for boost mode).  
This value is used to calculate the following component values:
</t>
        </r>
        <r>
          <rPr>
            <b/>
            <sz val="9"/>
            <color indexed="81"/>
            <rFont val="Tahoma"/>
            <family val="2"/>
          </rPr>
          <t>Current sense resistor</t>
        </r>
        <r>
          <rPr>
            <sz val="9"/>
            <color indexed="81"/>
            <rFont val="Tahoma"/>
            <family val="2"/>
          </rPr>
          <t>: R</t>
        </r>
        <r>
          <rPr>
            <vertAlign val="subscript"/>
            <sz val="9"/>
            <color indexed="81"/>
            <rFont val="Tahoma"/>
            <family val="2"/>
          </rPr>
          <t>CS1/2</t>
        </r>
        <r>
          <rPr>
            <sz val="9"/>
            <color indexed="81"/>
            <rFont val="Tahoma"/>
            <family val="2"/>
          </rPr>
          <t xml:space="preserve"> 
</t>
        </r>
        <r>
          <rPr>
            <b/>
            <sz val="9"/>
            <color indexed="81"/>
            <rFont val="Tahoma"/>
            <family val="2"/>
          </rPr>
          <t>Power train inductor</t>
        </r>
        <r>
          <rPr>
            <sz val="9"/>
            <color indexed="81"/>
            <rFont val="Tahoma"/>
            <family val="2"/>
          </rPr>
          <t>: L</t>
        </r>
        <r>
          <rPr>
            <vertAlign val="subscript"/>
            <sz val="9"/>
            <color indexed="81"/>
            <rFont val="Tahoma"/>
            <family val="2"/>
          </rPr>
          <t>M1/2</t>
        </r>
      </text>
    </comment>
    <comment ref="B27" authorId="1" shapeId="0" xr:uid="{7A13D91B-6400-40B0-B704-85AE1522C173}">
      <text>
        <r>
          <rPr>
            <b/>
            <sz val="9"/>
            <color indexed="81"/>
            <rFont val="Tahoma"/>
            <family val="2"/>
          </rPr>
          <t xml:space="preserve">Maximum Output Current in Boost Mode:
</t>
        </r>
        <r>
          <rPr>
            <sz val="9"/>
            <color indexed="81"/>
            <rFont val="Tahoma"/>
            <family val="2"/>
          </rPr>
          <t xml:space="preserve">
Enter the Maximum Output Current in Boost Mode.  
This value is used to calculate the load resistance in boost mode.</t>
        </r>
      </text>
    </comment>
    <comment ref="B28" authorId="0" shapeId="0" xr:uid="{00000000-0006-0000-0000-00000D000000}">
      <text>
        <r>
          <rPr>
            <b/>
            <sz val="9"/>
            <color indexed="81"/>
            <rFont val="Tahoma"/>
            <family val="2"/>
          </rPr>
          <t xml:space="preserve">Calculated Current Sense Resistor:
</t>
        </r>
        <r>
          <rPr>
            <sz val="9"/>
            <color indexed="81"/>
            <rFont val="Tahoma"/>
            <family val="2"/>
          </rPr>
          <t>The current sense resistor value (</t>
        </r>
        <r>
          <rPr>
            <b/>
            <sz val="9"/>
            <color indexed="81"/>
            <rFont val="Tahoma"/>
            <family val="2"/>
          </rPr>
          <t>R</t>
        </r>
        <r>
          <rPr>
            <b/>
            <vertAlign val="subscript"/>
            <sz val="9"/>
            <color indexed="81"/>
            <rFont val="Tahoma"/>
            <family val="2"/>
          </rPr>
          <t>CS1/2</t>
        </r>
        <r>
          <rPr>
            <sz val="9"/>
            <color indexed="81"/>
            <rFont val="Tahoma"/>
            <family val="2"/>
          </rPr>
          <t>) is calculated to produce 50mV at the maximum phase current (  Total LV-Port Current / Total Number of Phases  ).</t>
        </r>
      </text>
    </comment>
    <comment ref="B29" authorId="0" shapeId="0" xr:uid="{00000000-0006-0000-0000-00000E000000}">
      <text>
        <r>
          <rPr>
            <b/>
            <sz val="9"/>
            <color indexed="81"/>
            <rFont val="Tahoma"/>
            <family val="2"/>
          </rPr>
          <t xml:space="preserve">Selected (Chosen) Sense Resistor:
</t>
        </r>
        <r>
          <rPr>
            <sz val="9"/>
            <color indexed="81"/>
            <rFont val="Tahoma"/>
            <family val="2"/>
          </rPr>
          <t xml:space="preserve">Enter your chosen sense resistor in this cell.  Use the calculated sense resistor as a guideline.
</t>
        </r>
      </text>
    </comment>
    <comment ref="B30" authorId="0" shapeId="0" xr:uid="{00000000-0006-0000-0000-00000F000000}">
      <text>
        <r>
          <rPr>
            <b/>
            <sz val="9"/>
            <color indexed="81"/>
            <rFont val="Tahoma"/>
            <family val="2"/>
          </rPr>
          <t xml:space="preserve">Maximum Average Inductor Current Per Channel:
</t>
        </r>
        <r>
          <rPr>
            <sz val="9"/>
            <color indexed="81"/>
            <rFont val="Tahoma"/>
            <family val="2"/>
          </rPr>
          <t xml:space="preserve">
This value is calculated based on </t>
        </r>
        <r>
          <rPr>
            <b/>
            <sz val="9"/>
            <color indexed="81"/>
            <rFont val="Tahoma"/>
            <family val="2"/>
          </rPr>
          <t>50mV</t>
        </r>
        <r>
          <rPr>
            <sz val="9"/>
            <color indexed="81"/>
            <rFont val="Tahoma"/>
            <family val="2"/>
          </rPr>
          <t xml:space="preserve"> across the Selected Sense Resistor</t>
        </r>
      </text>
    </comment>
    <comment ref="B31" authorId="0" shapeId="0" xr:uid="{00000000-0006-0000-0000-000010000000}">
      <text>
        <r>
          <rPr>
            <b/>
            <sz val="9"/>
            <color indexed="81"/>
            <rFont val="Tahoma"/>
            <family val="2"/>
          </rPr>
          <t xml:space="preserve">Maximum LV-Port Rail Current:
</t>
        </r>
        <r>
          <rPr>
            <sz val="9"/>
            <color indexed="81"/>
            <rFont val="Tahoma"/>
            <family val="2"/>
          </rPr>
          <t xml:space="preserve">
This is the maximum current at the LV-Port.</t>
        </r>
      </text>
    </comment>
    <comment ref="B36" authorId="0" shapeId="0" xr:uid="{00000000-0006-0000-0000-000011000000}">
      <text>
        <r>
          <rPr>
            <b/>
            <sz val="9"/>
            <color indexed="81"/>
            <rFont val="Tahoma"/>
            <family val="2"/>
          </rPr>
          <t xml:space="preserve">Selected Peak-to-Peak Ripple Ratio:
</t>
        </r>
        <r>
          <rPr>
            <sz val="9"/>
            <color indexed="81"/>
            <rFont val="Tahoma"/>
            <family val="2"/>
          </rPr>
          <t>This is the ratio of peak-to-peak inductor ripple current to the maximum average inductor current. Typically this value should be 80% or less.
Once the Ripple Ratio has been selected it will be used to calculate the inductor value</t>
        </r>
      </text>
    </comment>
    <comment ref="B37" authorId="0" shapeId="0" xr:uid="{00000000-0006-0000-0000-000012000000}">
      <text>
        <r>
          <rPr>
            <b/>
            <sz val="9"/>
            <color indexed="81"/>
            <rFont val="Tahoma"/>
            <family val="2"/>
          </rPr>
          <t xml:space="preserve">Calculated Inductor
</t>
        </r>
        <r>
          <rPr>
            <sz val="9"/>
            <color indexed="81"/>
            <rFont val="Tahoma"/>
            <family val="2"/>
          </rPr>
          <t>This is the suggested powertrain inductor value that is based on the peak-to-peak inductor current ripple ratio. Decreasing the ripple ratio will yield a larger inductance value</t>
        </r>
      </text>
    </comment>
    <comment ref="B38" authorId="0" shapeId="0" xr:uid="{00000000-0006-0000-0000-000013000000}">
      <text>
        <r>
          <rPr>
            <b/>
            <sz val="9"/>
            <color indexed="81"/>
            <rFont val="Tahoma"/>
            <family val="2"/>
          </rPr>
          <t>Selected Inductor</t>
        </r>
        <r>
          <rPr>
            <sz val="9"/>
            <color indexed="81"/>
            <rFont val="Tahoma"/>
            <family val="2"/>
          </rPr>
          <t xml:space="preserve">
This is the selected inductance value of L</t>
        </r>
        <r>
          <rPr>
            <vertAlign val="subscript"/>
            <sz val="9"/>
            <color indexed="81"/>
            <rFont val="Tahoma"/>
            <family val="2"/>
          </rPr>
          <t>M1</t>
        </r>
        <r>
          <rPr>
            <sz val="9"/>
            <color indexed="81"/>
            <rFont val="Tahoma"/>
            <family val="2"/>
          </rPr>
          <t xml:space="preserve"> and L</t>
        </r>
        <r>
          <rPr>
            <vertAlign val="subscript"/>
            <sz val="9"/>
            <color indexed="81"/>
            <rFont val="Tahoma"/>
            <family val="2"/>
          </rPr>
          <t xml:space="preserve">M2. </t>
        </r>
        <r>
          <rPr>
            <sz val="9"/>
            <color indexed="81"/>
            <rFont val="Tahoma"/>
            <family val="2"/>
          </rPr>
          <t>The calculated inductance value should be used as a guide line to select the inductance value.</t>
        </r>
      </text>
    </comment>
    <comment ref="B39" authorId="0" shapeId="0" xr:uid="{00000000-0006-0000-0000-000014000000}">
      <text>
        <r>
          <rPr>
            <b/>
            <sz val="9"/>
            <color indexed="81"/>
            <rFont val="Tahoma"/>
            <family val="2"/>
          </rPr>
          <t>Inductor DCR</t>
        </r>
        <r>
          <rPr>
            <sz val="9"/>
            <color indexed="81"/>
            <rFont val="Tahoma"/>
            <family val="2"/>
          </rPr>
          <t xml:space="preserve">
This is the DC resistance of the inductor. This can be found on the datasheet of the selected inductor. Higher values of DCR will cause the efficiency to drop relative to a inductor will smaller DCR</t>
        </r>
      </text>
    </comment>
    <comment ref="B40" authorId="0" shapeId="0" xr:uid="{00000000-0006-0000-0000-000015000000}">
      <text>
        <r>
          <rPr>
            <b/>
            <sz val="9"/>
            <color indexed="81"/>
            <rFont val="Tahoma"/>
            <family val="2"/>
          </rPr>
          <t xml:space="preserve">Maximum Inductor Peak Current
</t>
        </r>
        <r>
          <rPr>
            <sz val="9"/>
            <color indexed="81"/>
            <rFont val="Tahoma"/>
            <family val="2"/>
          </rPr>
          <t xml:space="preserve">
Worst case maximum peak current based on the selected inductance value, maximum LV port current specified and each phase in operation.</t>
        </r>
      </text>
    </comment>
    <comment ref="B45" authorId="0" shapeId="0" xr:uid="{00000000-0006-0000-0000-000016000000}">
      <text>
        <r>
          <rPr>
            <b/>
            <sz val="9"/>
            <color indexed="81"/>
            <rFont val="Tahoma"/>
            <family val="2"/>
          </rPr>
          <t>Current Limit Margin</t>
        </r>
        <r>
          <rPr>
            <sz val="9"/>
            <color indexed="81"/>
            <rFont val="Tahoma"/>
            <family val="2"/>
          </rPr>
          <t xml:space="preserve">
The margin above the calculated peak inductor current. Typically, this value should be higher than 20%.</t>
        </r>
      </text>
    </comment>
    <comment ref="B46" authorId="0" shapeId="0" xr:uid="{00000000-0006-0000-0000-000017000000}">
      <text>
        <r>
          <rPr>
            <b/>
            <sz val="9"/>
            <color indexed="81"/>
            <rFont val="Tahoma"/>
            <family val="2"/>
          </rPr>
          <t xml:space="preserve">Inductor Peak Current Limit
</t>
        </r>
        <r>
          <rPr>
            <sz val="9"/>
            <color indexed="81"/>
            <rFont val="Tahoma"/>
            <family val="2"/>
          </rPr>
          <t>This is the peak inductor current based on the amount of margin specified. It is important to ensure that the selected inductor is rated for this amount of current. If not the margin of the peak limit should be decreased or an inductor with a larger current rating should be selected.</t>
        </r>
      </text>
    </comment>
    <comment ref="B47" authorId="2" shapeId="0" xr:uid="{293FA9AB-C0A2-466C-879C-32A5CDC7CFB0}">
      <text>
        <r>
          <rPr>
            <b/>
            <sz val="9"/>
            <color indexed="81"/>
            <rFont val="Tahoma"/>
            <family val="2"/>
          </rPr>
          <t>Selected Inductor Peak Current Limit</t>
        </r>
        <r>
          <rPr>
            <sz val="9"/>
            <color indexed="81"/>
            <rFont val="Tahoma"/>
            <family val="2"/>
          </rPr>
          <t xml:space="preserve">
Inductor saturation current must exceed this value
</t>
        </r>
      </text>
    </comment>
    <comment ref="B48" authorId="1" shapeId="0" xr:uid="{06128FB7-833C-4DFF-B1FE-66097760953C}">
      <text>
        <r>
          <rPr>
            <b/>
            <sz val="9"/>
            <color indexed="81"/>
            <rFont val="Tahoma"/>
            <family val="2"/>
          </rPr>
          <t>IPK Votlage</t>
        </r>
        <r>
          <rPr>
            <sz val="9"/>
            <color indexed="81"/>
            <rFont val="Tahoma"/>
            <family val="2"/>
          </rPr>
          <t xml:space="preserve">
V</t>
        </r>
        <r>
          <rPr>
            <vertAlign val="subscript"/>
            <sz val="9"/>
            <color indexed="81"/>
            <rFont val="Tahoma"/>
            <family val="2"/>
          </rPr>
          <t>IPK</t>
        </r>
        <r>
          <rPr>
            <sz val="9"/>
            <color indexed="81"/>
            <rFont val="Tahoma"/>
            <family val="2"/>
          </rPr>
          <t xml:space="preserve">  should be no more than 3V to ensure proper operation.</t>
        </r>
      </text>
    </comment>
    <comment ref="B49" authorId="1" shapeId="0" xr:uid="{F5E4CD7F-B353-47F3-AA54-2CBE6B6AC3D7}">
      <text>
        <r>
          <rPr>
            <b/>
            <sz val="9"/>
            <color indexed="81"/>
            <rFont val="Tahoma"/>
            <family val="2"/>
          </rPr>
          <t>Suggested IPK low side resistor</t>
        </r>
        <r>
          <rPr>
            <sz val="9"/>
            <color indexed="81"/>
            <rFont val="Tahoma"/>
            <family val="2"/>
          </rPr>
          <t xml:space="preserve">
This is calculated by assuming 0.1mA is drawn.</t>
        </r>
      </text>
    </comment>
    <comment ref="B51" authorId="1" shapeId="0" xr:uid="{04A8402A-0C8C-4144-86C7-EF3EA7409E7B}">
      <text>
        <r>
          <rPr>
            <b/>
            <sz val="9"/>
            <color indexed="81"/>
            <rFont val="Tahoma"/>
            <family val="2"/>
          </rPr>
          <t xml:space="preserve">Suggested IPK high side resistor
</t>
        </r>
        <r>
          <rPr>
            <sz val="9"/>
            <color indexed="81"/>
            <rFont val="Tahoma"/>
            <family val="2"/>
          </rPr>
          <t xml:space="preserve">
This is calculated based on selected R</t>
        </r>
        <r>
          <rPr>
            <vertAlign val="subscript"/>
            <sz val="9"/>
            <color indexed="81"/>
            <rFont val="Tahoma"/>
            <family val="2"/>
          </rPr>
          <t>IPKB</t>
        </r>
      </text>
    </comment>
    <comment ref="B59" authorId="0" shapeId="0" xr:uid="{00000000-0006-0000-0000-00001B000000}">
      <text>
        <r>
          <rPr>
            <b/>
            <sz val="9"/>
            <color indexed="81"/>
            <rFont val="Tahoma"/>
            <family val="2"/>
          </rPr>
          <t>LV Rail Output Capacitance</t>
        </r>
        <r>
          <rPr>
            <sz val="9"/>
            <color indexed="81"/>
            <rFont val="Tahoma"/>
            <family val="2"/>
          </rPr>
          <t xml:space="preserve">
This is the selected output capacitance of the LV rail.
This value will have an impact when calculating the voltage loop compensation for Buck Mode Operation.</t>
        </r>
      </text>
    </comment>
    <comment ref="B60" authorId="0" shapeId="0" xr:uid="{00000000-0006-0000-0000-00001C000000}">
      <text>
        <r>
          <rPr>
            <b/>
            <sz val="9"/>
            <color indexed="81"/>
            <rFont val="Tahoma"/>
            <family val="2"/>
          </rPr>
          <t>LV Rail Output Capacitance ESR</t>
        </r>
        <r>
          <rPr>
            <sz val="9"/>
            <color indexed="81"/>
            <rFont val="Tahoma"/>
            <family val="2"/>
          </rPr>
          <t xml:space="preserve">
This is the equivalent ESR of all output capacitors on LV rail.
This value will have an impact when calculating the voltage loop compensation for Buck Mode Operation.</t>
        </r>
      </text>
    </comment>
    <comment ref="B62" authorId="0" shapeId="0" xr:uid="{00000000-0006-0000-0000-00001D000000}">
      <text>
        <r>
          <rPr>
            <b/>
            <sz val="9"/>
            <color indexed="81"/>
            <rFont val="Tahoma"/>
            <family val="2"/>
          </rPr>
          <t>HV Rail Output Capacitance</t>
        </r>
        <r>
          <rPr>
            <sz val="9"/>
            <color indexed="81"/>
            <rFont val="Tahoma"/>
            <family val="2"/>
          </rPr>
          <t xml:space="preserve">
This is the selected output capacitance of the LV rail.
This value will have an impact when calculating the voltage loop compensation for Boost Mode Operation.</t>
        </r>
      </text>
    </comment>
    <comment ref="B63" authorId="0" shapeId="0" xr:uid="{00000000-0006-0000-0000-00001E000000}">
      <text>
        <r>
          <rPr>
            <b/>
            <sz val="9"/>
            <color indexed="81"/>
            <rFont val="Tahoma"/>
            <family val="2"/>
          </rPr>
          <t xml:space="preserve">HV Rail Output Capacitance ESR
</t>
        </r>
        <r>
          <rPr>
            <sz val="9"/>
            <color indexed="81"/>
            <rFont val="Tahoma"/>
            <family val="2"/>
          </rPr>
          <t xml:space="preserve">This is the equivalent ESR of all output capacitors on HV rail.
This value will have an impact when calculating the voltage loop compensation for Boost Mode Operation.
</t>
        </r>
      </text>
    </comment>
    <comment ref="B67" authorId="0" shapeId="0" xr:uid="{74BEB6FD-F82C-4BCB-9629-97F01197C41E}">
      <text>
        <r>
          <rPr>
            <b/>
            <sz val="9"/>
            <color indexed="81"/>
            <rFont val="Tahoma"/>
            <family val="2"/>
          </rPr>
          <t xml:space="preserve">Constant Voltage(CV) or Constant Current(CC) control Selection:
</t>
        </r>
        <r>
          <rPr>
            <sz val="9"/>
            <color indexed="81"/>
            <rFont val="Tahoma"/>
            <family val="2"/>
          </rPr>
          <t>Choose CV if the outer voltage loop is employed, the current loop is used as inner loop.
Choose CC if only current loop is used.</t>
        </r>
      </text>
    </comment>
    <comment ref="B69" authorId="0" shapeId="0" xr:uid="{00000000-0006-0000-0000-000025000000}">
      <text>
        <r>
          <rPr>
            <b/>
            <sz val="9"/>
            <color indexed="81"/>
            <rFont val="Tahoma"/>
            <family val="2"/>
          </rPr>
          <t>Selected Output Voltage Soft-Start Time</t>
        </r>
        <r>
          <rPr>
            <sz val="9"/>
            <color indexed="81"/>
            <rFont val="Tahoma"/>
            <family val="2"/>
          </rPr>
          <t xml:space="preserve">
This is the selected time that it will take to raise the output voltage to the steady state operating voltage. Increasing the value will result in a slower ramp to the  steady state operating voltage.</t>
        </r>
      </text>
    </comment>
    <comment ref="B70" authorId="0" shapeId="0" xr:uid="{BE26FCB6-1F13-4C20-9C02-A110F35BD70C}">
      <text>
        <r>
          <rPr>
            <b/>
            <sz val="9"/>
            <color indexed="81"/>
            <rFont val="Tahoma"/>
            <family val="2"/>
          </rPr>
          <t xml:space="preserve">External Reference Voltage
</t>
        </r>
        <r>
          <rPr>
            <sz val="9"/>
            <color indexed="81"/>
            <rFont val="Tahoma"/>
            <family val="2"/>
          </rPr>
          <t xml:space="preserve">
This is the reference voltage for the voltage loop error amplifier non-inverting input.</t>
        </r>
      </text>
    </comment>
    <comment ref="B71" authorId="1" shapeId="0" xr:uid="{69FFBC0A-4632-494D-8B18-9C3497D7A1A3}">
      <text>
        <r>
          <rPr>
            <b/>
            <sz val="9"/>
            <color indexed="81"/>
            <rFont val="Tahoma"/>
            <family val="2"/>
          </rPr>
          <t>Low-Side Resistor for VSET</t>
        </r>
        <r>
          <rPr>
            <sz val="9"/>
            <color indexed="81"/>
            <rFont val="Tahoma"/>
            <family val="2"/>
          </rPr>
          <t xml:space="preserve">
This is calculated by assuming 0.1mA is drawn.</t>
        </r>
      </text>
    </comment>
    <comment ref="B73" authorId="1" shapeId="0" xr:uid="{1AC337B5-28F1-4BFC-88F3-5106B0553DE3}">
      <text>
        <r>
          <rPr>
            <b/>
            <sz val="9"/>
            <color indexed="81"/>
            <rFont val="Tahoma"/>
            <family val="2"/>
          </rPr>
          <t>High-Side Resistor for VSET</t>
        </r>
        <r>
          <rPr>
            <sz val="9"/>
            <color indexed="81"/>
            <rFont val="Tahoma"/>
            <family val="2"/>
          </rPr>
          <t xml:space="preserve">
This is calculated based on selected R</t>
        </r>
        <r>
          <rPr>
            <vertAlign val="subscript"/>
            <sz val="9"/>
            <color indexed="81"/>
            <rFont val="Tahoma"/>
            <family val="2"/>
          </rPr>
          <t>VSETB</t>
        </r>
      </text>
    </comment>
    <comment ref="B76" authorId="1" shapeId="0" xr:uid="{B777C559-EC1F-4D7B-83B8-1937D728C02E}">
      <text>
        <r>
          <rPr>
            <b/>
            <sz val="9"/>
            <color indexed="81"/>
            <rFont val="Tahoma"/>
            <family val="2"/>
          </rPr>
          <t>Voltage softstart capacitor for VSET</t>
        </r>
        <r>
          <rPr>
            <sz val="9"/>
            <color indexed="81"/>
            <rFont val="Tahoma"/>
            <family val="2"/>
          </rPr>
          <t xml:space="preserve">
R</t>
        </r>
        <r>
          <rPr>
            <vertAlign val="subscript"/>
            <sz val="9"/>
            <color indexed="81"/>
            <rFont val="Tahoma"/>
            <family val="2"/>
          </rPr>
          <t>VSETB</t>
        </r>
        <r>
          <rPr>
            <sz val="9"/>
            <color indexed="81"/>
            <rFont val="Tahoma"/>
            <family val="2"/>
          </rPr>
          <t>, R</t>
        </r>
        <r>
          <rPr>
            <vertAlign val="subscript"/>
            <sz val="9"/>
            <color indexed="81"/>
            <rFont val="Tahoma"/>
            <family val="2"/>
          </rPr>
          <t>VSETT</t>
        </r>
        <r>
          <rPr>
            <sz val="9"/>
            <color indexed="81"/>
            <rFont val="Tahoma"/>
            <family val="2"/>
          </rPr>
          <t xml:space="preserve"> and C</t>
        </r>
        <r>
          <rPr>
            <vertAlign val="subscript"/>
            <sz val="9"/>
            <color indexed="81"/>
            <rFont val="Tahoma"/>
            <family val="2"/>
          </rPr>
          <t>VSET</t>
        </r>
        <r>
          <rPr>
            <sz val="9"/>
            <color indexed="81"/>
            <rFont val="Tahoma"/>
            <family val="2"/>
          </rPr>
          <t xml:space="preserve"> determines the output voltage soft-start time.
2*(R</t>
        </r>
        <r>
          <rPr>
            <vertAlign val="subscript"/>
            <sz val="9"/>
            <color indexed="81"/>
            <rFont val="Tahoma"/>
            <family val="2"/>
          </rPr>
          <t>VSETB</t>
        </r>
        <r>
          <rPr>
            <sz val="9"/>
            <color indexed="81"/>
            <rFont val="Tahoma"/>
            <family val="2"/>
          </rPr>
          <t>|| R</t>
        </r>
        <r>
          <rPr>
            <vertAlign val="subscript"/>
            <sz val="9"/>
            <color indexed="81"/>
            <rFont val="Tahoma"/>
            <family val="2"/>
          </rPr>
          <t>VSETT</t>
        </r>
        <r>
          <rPr>
            <sz val="9"/>
            <color indexed="81"/>
            <rFont val="Tahoma"/>
            <family val="2"/>
          </rPr>
          <t>)*C</t>
        </r>
        <r>
          <rPr>
            <vertAlign val="subscript"/>
            <sz val="9"/>
            <color indexed="81"/>
            <rFont val="Tahoma"/>
            <family val="2"/>
          </rPr>
          <t>VSET</t>
        </r>
        <r>
          <rPr>
            <sz val="9"/>
            <color indexed="81"/>
            <rFont val="Tahoma"/>
            <family val="2"/>
          </rPr>
          <t xml:space="preserve"> is used as soft-start time here.</t>
        </r>
      </text>
    </comment>
    <comment ref="B78" authorId="0" shapeId="0" xr:uid="{00000000-0006-0000-0000-000028000000}">
      <text>
        <r>
          <rPr>
            <b/>
            <sz val="9"/>
            <color indexed="81"/>
            <rFont val="Tahoma"/>
            <family val="2"/>
          </rPr>
          <t xml:space="preserve">Actual Soft-Start Time
</t>
        </r>
        <r>
          <rPr>
            <sz val="9"/>
            <color indexed="81"/>
            <rFont val="Tahoma"/>
            <family val="2"/>
          </rPr>
          <t xml:space="preserve">
This is the output voltage soft-start time based on the selected R</t>
        </r>
        <r>
          <rPr>
            <vertAlign val="subscript"/>
            <sz val="9"/>
            <color indexed="81"/>
            <rFont val="Tahoma"/>
            <family val="2"/>
          </rPr>
          <t>VSETB</t>
        </r>
        <r>
          <rPr>
            <sz val="9"/>
            <color indexed="81"/>
            <rFont val="Tahoma"/>
            <family val="2"/>
          </rPr>
          <t>, R</t>
        </r>
        <r>
          <rPr>
            <vertAlign val="subscript"/>
            <sz val="9"/>
            <color indexed="81"/>
            <rFont val="Tahoma"/>
            <family val="2"/>
          </rPr>
          <t>VSETT</t>
        </r>
        <r>
          <rPr>
            <sz val="9"/>
            <color indexed="81"/>
            <rFont val="Tahoma"/>
            <family val="2"/>
          </rPr>
          <t>, C</t>
        </r>
        <r>
          <rPr>
            <vertAlign val="subscript"/>
            <sz val="9"/>
            <color indexed="81"/>
            <rFont val="Tahoma"/>
            <family val="2"/>
          </rPr>
          <t>VSET</t>
        </r>
        <r>
          <rPr>
            <sz val="9"/>
            <color indexed="81"/>
            <rFont val="Tahoma"/>
            <family val="2"/>
          </rPr>
          <t xml:space="preserve"> value.</t>
        </r>
      </text>
    </comment>
    <comment ref="B80" authorId="0" shapeId="0" xr:uid="{6AEAFDA9-F508-4499-9337-153378F1D9E8}">
      <text>
        <r>
          <rPr>
            <b/>
            <sz val="9"/>
            <color indexed="81"/>
            <rFont val="Tahoma"/>
            <family val="2"/>
          </rPr>
          <t>Selected Soft-Start Time</t>
        </r>
        <r>
          <rPr>
            <sz val="9"/>
            <color indexed="81"/>
            <rFont val="Tahoma"/>
            <family val="2"/>
          </rPr>
          <t xml:space="preserve">
This is the selected time that it will take the SS pin to charge to the threshold voltage. Increasing the value will result in a slower ramp to full load current.</t>
        </r>
      </text>
    </comment>
    <comment ref="B81" authorId="0" shapeId="0" xr:uid="{99D5FAA1-835D-4477-A182-4530E3616A86}">
      <text>
        <r>
          <rPr>
            <b/>
            <sz val="9"/>
            <color indexed="81"/>
            <rFont val="Tahoma"/>
            <family val="2"/>
          </rPr>
          <t>Selected Soft-Start Capacitor C</t>
        </r>
        <r>
          <rPr>
            <b/>
            <vertAlign val="subscript"/>
            <sz val="9"/>
            <color indexed="81"/>
            <rFont val="Tahoma"/>
            <family val="2"/>
          </rPr>
          <t>SS</t>
        </r>
        <r>
          <rPr>
            <sz val="9"/>
            <color indexed="81"/>
            <rFont val="Tahoma"/>
            <family val="2"/>
          </rPr>
          <t xml:space="preserve">
This is the calculated soft-start capacitor that will result in the soft-start time specified in the selected soft-start time cell. 
 If outer voltage loop is employed, current soft start should be minimized. Select 100pF for C</t>
        </r>
        <r>
          <rPr>
            <vertAlign val="subscript"/>
            <sz val="9"/>
            <color indexed="81"/>
            <rFont val="Tahoma"/>
            <family val="2"/>
          </rPr>
          <t>ss</t>
        </r>
        <r>
          <rPr>
            <sz val="9"/>
            <color indexed="81"/>
            <rFont val="Tahoma"/>
            <family val="2"/>
          </rPr>
          <t>.</t>
        </r>
      </text>
    </comment>
    <comment ref="B82" authorId="0" shapeId="0" xr:uid="{4FA3B359-07A3-4A10-AAE5-EA7A67EDCC65}">
      <text>
        <r>
          <rPr>
            <b/>
            <sz val="9"/>
            <color indexed="81"/>
            <rFont val="Tahoma"/>
            <family val="2"/>
          </rPr>
          <t>Selected C</t>
        </r>
        <r>
          <rPr>
            <b/>
            <vertAlign val="subscript"/>
            <sz val="9"/>
            <color indexed="81"/>
            <rFont val="Tahoma"/>
            <family val="2"/>
          </rPr>
          <t>SS</t>
        </r>
        <r>
          <rPr>
            <b/>
            <sz val="9"/>
            <color indexed="81"/>
            <rFont val="Tahoma"/>
            <family val="2"/>
          </rPr>
          <t xml:space="preserve"> Capacitance
</t>
        </r>
        <r>
          <rPr>
            <sz val="9"/>
            <color indexed="81"/>
            <rFont val="Tahoma"/>
            <family val="2"/>
          </rPr>
          <t>This is the selected current soft-start capacitance. This value should be based on the calculated C</t>
        </r>
        <r>
          <rPr>
            <vertAlign val="subscript"/>
            <sz val="9"/>
            <color indexed="81"/>
            <rFont val="Tahoma"/>
            <family val="2"/>
          </rPr>
          <t xml:space="preserve">SS </t>
        </r>
        <r>
          <rPr>
            <sz val="9"/>
            <color indexed="81"/>
            <rFont val="Tahoma"/>
            <family val="2"/>
          </rPr>
          <t>cell value.</t>
        </r>
      </text>
    </comment>
    <comment ref="B83" authorId="0" shapeId="0" xr:uid="{0CB79596-BBE7-4A4C-B0F8-18347A6E2E7B}">
      <text>
        <r>
          <rPr>
            <b/>
            <sz val="9"/>
            <color indexed="81"/>
            <rFont val="Tahoma"/>
            <family val="2"/>
          </rPr>
          <t xml:space="preserve">Actual Soft-Start Time
</t>
        </r>
        <r>
          <rPr>
            <sz val="9"/>
            <color indexed="81"/>
            <rFont val="Tahoma"/>
            <family val="2"/>
          </rPr>
          <t xml:space="preserve">
This is the current soft-start time of the converter based on the value of the selected C</t>
        </r>
        <r>
          <rPr>
            <vertAlign val="subscript"/>
            <sz val="9"/>
            <color indexed="81"/>
            <rFont val="Tahoma"/>
            <family val="2"/>
          </rPr>
          <t>SS</t>
        </r>
        <r>
          <rPr>
            <sz val="9"/>
            <color indexed="81"/>
            <rFont val="Tahoma"/>
            <family val="2"/>
          </rPr>
          <t xml:space="preserve"> value.</t>
        </r>
      </text>
    </comment>
    <comment ref="B88" authorId="0" shapeId="0" xr:uid="{00000000-0006-0000-0000-000031000000}">
      <text>
        <r>
          <rPr>
            <b/>
            <sz val="9"/>
            <color indexed="81"/>
            <rFont val="Tahoma"/>
            <family val="2"/>
          </rPr>
          <t xml:space="preserve">ULVO Control Type Selection:
</t>
        </r>
        <r>
          <rPr>
            <sz val="9"/>
            <color indexed="81"/>
            <rFont val="Tahoma"/>
            <family val="2"/>
          </rPr>
          <t xml:space="preserve">The UVLO signal can be configured in a number of ways. Below are two common configurations
1. </t>
        </r>
        <r>
          <rPr>
            <u/>
            <sz val="9"/>
            <color indexed="81"/>
            <rFont val="Tahoma"/>
            <family val="2"/>
          </rPr>
          <t>UVLO signal controlled by microcontroller (</t>
        </r>
        <r>
          <rPr>
            <u/>
            <sz val="9"/>
            <color indexed="81"/>
            <rFont val="Calibri"/>
            <family val="2"/>
          </rPr>
          <t>μ</t>
        </r>
        <r>
          <rPr>
            <u/>
            <sz val="9"/>
            <color indexed="81"/>
            <rFont val="Tahoma"/>
            <family val="2"/>
          </rPr>
          <t>C)</t>
        </r>
        <r>
          <rPr>
            <sz val="9"/>
            <color indexed="81"/>
            <rFont val="Tahoma"/>
            <family val="2"/>
          </rPr>
          <t xml:space="preserve">
In this configuration the UVLO signal is used as a main enable for the device. To ensure that LM5171 will respond correctly, the logic level high voltage should be greater than 2.5V. If the cells below are shaded grey, it indicate that the calculations are not needed.
2.</t>
        </r>
        <r>
          <rPr>
            <u/>
            <sz val="9"/>
            <color indexed="81"/>
            <rFont val="Tahoma"/>
            <family val="2"/>
          </rPr>
          <t xml:space="preserve"> UVLO Resistor Divider (Resistor Divider)</t>
        </r>
        <r>
          <rPr>
            <sz val="9"/>
            <color indexed="81"/>
            <rFont val="Tahoma"/>
            <family val="2"/>
          </rPr>
          <t xml:space="preserve">
In this configuration a Resistor divider is used to set enable or disable LM5171. When the UVLO pin is above 2.5V the LM5171 will be in power delivery mode. If the voltage on the UVLO pin is between 1.25V and 2.5V the LM5171 will be in standby mode. If the UVLO pin voltage is below 1.25V, LM5171 will be in shutdown mode and will draw a small amount of power.</t>
        </r>
      </text>
    </comment>
    <comment ref="B89" authorId="0" shapeId="0" xr:uid="{00000000-0006-0000-0000-000032000000}">
      <text>
        <r>
          <rPr>
            <b/>
            <sz val="9"/>
            <color indexed="81"/>
            <rFont val="Tahoma"/>
            <family val="2"/>
          </rPr>
          <t xml:space="preserve">UVLO Release Voltage
</t>
        </r>
        <r>
          <rPr>
            <sz val="9"/>
            <color indexed="81"/>
            <rFont val="Tahoma"/>
            <family val="2"/>
          </rPr>
          <t>This is the input voltage at which the LM5171 will start delivering current. 
The resistor divider can be connected to HV-PORT, LV-PORT, VCC, etc.</t>
        </r>
      </text>
    </comment>
    <comment ref="B90" authorId="0" shapeId="0" xr:uid="{00000000-0006-0000-0000-000033000000}">
      <text>
        <r>
          <rPr>
            <b/>
            <sz val="9"/>
            <color indexed="81"/>
            <rFont val="Tahoma"/>
            <family val="2"/>
          </rPr>
          <t>Selected R</t>
        </r>
        <r>
          <rPr>
            <b/>
            <vertAlign val="subscript"/>
            <sz val="9"/>
            <color indexed="81"/>
            <rFont val="Tahoma"/>
            <family val="2"/>
          </rPr>
          <t xml:space="preserve">UVLO2
</t>
        </r>
        <r>
          <rPr>
            <sz val="9"/>
            <color indexed="81"/>
            <rFont val="Tahoma"/>
            <family val="2"/>
          </rPr>
          <t xml:space="preserve">This is the selected bottom resistor of the UVLO resistor divider. The larger this value the less current will flow in the divider making the UVLO signal more susceptible to noise. </t>
        </r>
      </text>
    </comment>
    <comment ref="B91" authorId="0" shapeId="0" xr:uid="{00000000-0006-0000-0000-000034000000}">
      <text>
        <r>
          <rPr>
            <b/>
            <sz val="9"/>
            <color indexed="81"/>
            <rFont val="Tahoma"/>
            <family val="2"/>
          </rPr>
          <t>Calculated R</t>
        </r>
        <r>
          <rPr>
            <b/>
            <vertAlign val="subscript"/>
            <sz val="9"/>
            <color indexed="81"/>
            <rFont val="Tahoma"/>
            <family val="2"/>
          </rPr>
          <t xml:space="preserve">UVLO1
</t>
        </r>
        <r>
          <rPr>
            <sz val="9"/>
            <color indexed="81"/>
            <rFont val="Tahoma"/>
            <family val="2"/>
          </rPr>
          <t>This is the calculated top resistor of the UVLO resistor divider based on the datasheet equation</t>
        </r>
      </text>
    </comment>
    <comment ref="B92" authorId="0" shapeId="0" xr:uid="{00000000-0006-0000-0000-000035000000}">
      <text>
        <r>
          <rPr>
            <b/>
            <sz val="9"/>
            <color indexed="81"/>
            <rFont val="Tahoma"/>
            <family val="2"/>
          </rPr>
          <t>Selected R</t>
        </r>
        <r>
          <rPr>
            <b/>
            <vertAlign val="subscript"/>
            <sz val="9"/>
            <color indexed="81"/>
            <rFont val="Tahoma"/>
            <family val="2"/>
          </rPr>
          <t>UVLO1</t>
        </r>
        <r>
          <rPr>
            <b/>
            <sz val="9"/>
            <color indexed="81"/>
            <rFont val="Tahoma"/>
            <family val="2"/>
          </rPr>
          <t xml:space="preserve">
</t>
        </r>
        <r>
          <rPr>
            <sz val="9"/>
            <color indexed="81"/>
            <rFont val="Tahoma"/>
            <family val="2"/>
          </rPr>
          <t xml:space="preserve">
This is the selected value of R</t>
        </r>
        <r>
          <rPr>
            <vertAlign val="subscript"/>
            <sz val="9"/>
            <color indexed="81"/>
            <rFont val="Tahoma"/>
            <family val="2"/>
          </rPr>
          <t>UVLO1</t>
        </r>
        <r>
          <rPr>
            <sz val="9"/>
            <color indexed="81"/>
            <rFont val="Tahoma"/>
            <family val="2"/>
          </rPr>
          <t xml:space="preserve">. The selected value should be based on the calculated value above
</t>
        </r>
      </text>
    </comment>
    <comment ref="B93" authorId="0" shapeId="0" xr:uid="{00000000-0006-0000-0000-000036000000}">
      <text>
        <r>
          <rPr>
            <b/>
            <sz val="9"/>
            <color indexed="81"/>
            <rFont val="Tahoma"/>
            <family val="2"/>
          </rPr>
          <t xml:space="preserve">UVLO Hysteresis
</t>
        </r>
        <r>
          <rPr>
            <sz val="9"/>
            <color indexed="81"/>
            <rFont val="Tahoma"/>
            <family val="2"/>
          </rPr>
          <t>If a different amount of hysteresis is needed on the UVLO signal a resistor (R</t>
        </r>
        <r>
          <rPr>
            <vertAlign val="subscript"/>
            <sz val="9"/>
            <color indexed="81"/>
            <rFont val="Tahoma"/>
            <family val="2"/>
          </rPr>
          <t>UVLO3</t>
        </r>
        <r>
          <rPr>
            <sz val="9"/>
            <color indexed="81"/>
            <rFont val="Tahoma"/>
            <family val="2"/>
          </rPr>
          <t xml:space="preserve">) maybe added to adjust this accordingly. The two following options will help to calculate the correct UVLO resistor values.
</t>
        </r>
        <r>
          <rPr>
            <u/>
            <sz val="9"/>
            <color indexed="81"/>
            <rFont val="Tahoma"/>
            <family val="2"/>
          </rPr>
          <t xml:space="preserve">1. Additional </t>
        </r>
        <r>
          <rPr>
            <sz val="9"/>
            <color indexed="81"/>
            <rFont val="Tahoma"/>
            <family val="2"/>
          </rPr>
          <t xml:space="preserve">
This allows for a greater level of hysteresis to be implemented for the UVLO signal. Selecting this option will calculated the needed value for R</t>
        </r>
        <r>
          <rPr>
            <vertAlign val="subscript"/>
            <sz val="9"/>
            <color indexed="81"/>
            <rFont val="Tahoma"/>
            <family val="2"/>
          </rPr>
          <t>UVLO3</t>
        </r>
        <r>
          <rPr>
            <sz val="9"/>
            <color indexed="81"/>
            <rFont val="Tahoma"/>
            <family val="2"/>
          </rPr>
          <t xml:space="preserve"> 
</t>
        </r>
        <r>
          <rPr>
            <u/>
            <sz val="9"/>
            <color indexed="81"/>
            <rFont val="Tahoma"/>
            <family val="2"/>
          </rPr>
          <t>2. Normal</t>
        </r>
        <r>
          <rPr>
            <sz val="9"/>
            <color indexed="81"/>
            <rFont val="Tahoma"/>
            <family val="2"/>
          </rPr>
          <t xml:space="preserve">
This is the most common use case for the UVLO signal. The hysteresis will be set by the 25uA internal current source and the R</t>
        </r>
        <r>
          <rPr>
            <vertAlign val="subscript"/>
            <sz val="9"/>
            <color indexed="81"/>
            <rFont val="Tahoma"/>
            <family val="2"/>
          </rPr>
          <t>UVLO1</t>
        </r>
        <r>
          <rPr>
            <sz val="9"/>
            <color indexed="81"/>
            <rFont val="Tahoma"/>
            <family val="2"/>
          </rPr>
          <t xml:space="preserve"> resistor</t>
        </r>
      </text>
    </comment>
    <comment ref="B94" authorId="0" shapeId="0" xr:uid="{00000000-0006-0000-0000-000037000000}">
      <text>
        <r>
          <rPr>
            <b/>
            <sz val="9"/>
            <color indexed="81"/>
            <rFont val="Tahoma"/>
            <family val="2"/>
          </rPr>
          <t>Selected Amount of Hysteresis</t>
        </r>
        <r>
          <rPr>
            <sz val="9"/>
            <color indexed="81"/>
            <rFont val="Tahoma"/>
            <family val="2"/>
          </rPr>
          <t xml:space="preserve">
R</t>
        </r>
        <r>
          <rPr>
            <vertAlign val="subscript"/>
            <sz val="9"/>
            <color indexed="81"/>
            <rFont val="Tahoma"/>
            <family val="2"/>
          </rPr>
          <t>UVLO3</t>
        </r>
        <r>
          <rPr>
            <sz val="9"/>
            <color indexed="81"/>
            <rFont val="Tahoma"/>
            <family val="2"/>
          </rPr>
          <t xml:space="preserve"> will be calculated based on the input in this cell . 
If the "Normal" option on the "UVLO Hysteresis Type" box is selected, this box is void.</t>
        </r>
      </text>
    </comment>
    <comment ref="B95" authorId="0" shapeId="0" xr:uid="{00000000-0006-0000-0000-000038000000}">
      <text>
        <r>
          <rPr>
            <b/>
            <sz val="9"/>
            <color indexed="81"/>
            <rFont val="Tahoma"/>
            <family val="2"/>
          </rPr>
          <t>Calculated R</t>
        </r>
        <r>
          <rPr>
            <b/>
            <vertAlign val="subscript"/>
            <sz val="9"/>
            <color indexed="81"/>
            <rFont val="Tahoma"/>
            <family val="2"/>
          </rPr>
          <t>UVLO3</t>
        </r>
        <r>
          <rPr>
            <b/>
            <sz val="9"/>
            <color indexed="81"/>
            <rFont val="Tahoma"/>
            <family val="2"/>
          </rPr>
          <t xml:space="preserve"> Value</t>
        </r>
        <r>
          <rPr>
            <sz val="9"/>
            <color indexed="81"/>
            <rFont val="Tahoma"/>
            <family val="2"/>
          </rPr>
          <t xml:space="preserve">
The calculated value based on amount of selected UVLO hysteresis. The calculated value is based on the datasheet equation. If the "Normal" option on the "UVLO Hysteresis Type" box is selected this box is void.</t>
        </r>
      </text>
    </comment>
    <comment ref="B96" authorId="0" shapeId="0" xr:uid="{00000000-0006-0000-0000-000039000000}">
      <text>
        <r>
          <rPr>
            <b/>
            <sz val="9"/>
            <color indexed="81"/>
            <rFont val="Tahoma"/>
            <family val="2"/>
          </rPr>
          <t>Selected R</t>
        </r>
        <r>
          <rPr>
            <b/>
            <vertAlign val="subscript"/>
            <sz val="9"/>
            <color indexed="81"/>
            <rFont val="Tahoma"/>
            <family val="2"/>
          </rPr>
          <t>UVLO3</t>
        </r>
        <r>
          <rPr>
            <b/>
            <sz val="9"/>
            <color indexed="81"/>
            <rFont val="Tahoma"/>
            <family val="2"/>
          </rPr>
          <t xml:space="preserve"> Value
</t>
        </r>
        <r>
          <rPr>
            <sz val="9"/>
            <color indexed="81"/>
            <rFont val="Tahoma"/>
            <family val="2"/>
          </rPr>
          <t>The selected value should be based on the calculated value above. If the "Normal" option on the "UVLO Hysteresis Type" box is selected this box is void.</t>
        </r>
      </text>
    </comment>
    <comment ref="B97" authorId="0" shapeId="0" xr:uid="{00000000-0006-0000-0000-00003A000000}">
      <text>
        <r>
          <rPr>
            <b/>
            <sz val="9"/>
            <color indexed="81"/>
            <rFont val="Tahoma"/>
            <family val="2"/>
          </rPr>
          <t xml:space="preserve">UVLO Hysteresis
</t>
        </r>
        <r>
          <rPr>
            <sz val="9"/>
            <color indexed="81"/>
            <rFont val="Tahoma"/>
            <family val="2"/>
          </rPr>
          <t xml:space="preserve">
This is the amount of hysteresis that will be on the UVLO signal. This value is dependent on the selection of the "UVLO Hysteresis Type" cell.
</t>
        </r>
      </text>
    </comment>
    <comment ref="B98" authorId="0" shapeId="0" xr:uid="{00000000-0006-0000-0000-00003B000000}">
      <text>
        <r>
          <rPr>
            <b/>
            <sz val="9"/>
            <color indexed="81"/>
            <rFont val="Tahoma"/>
            <family val="2"/>
          </rPr>
          <t xml:space="preserve">UVLO Release Rising Edge
</t>
        </r>
        <r>
          <rPr>
            <sz val="9"/>
            <color indexed="81"/>
            <rFont val="Tahoma"/>
            <family val="2"/>
          </rPr>
          <t>This is the UVLO input rail voltage at which the Undervoltage event is cleared. If the input rail voltage is greater than this value the LM5171 is able to deliver current.</t>
        </r>
      </text>
    </comment>
    <comment ref="B99" authorId="0" shapeId="0" xr:uid="{00000000-0006-0000-0000-00003C000000}">
      <text>
        <r>
          <rPr>
            <b/>
            <sz val="9"/>
            <color indexed="81"/>
            <rFont val="Tahoma"/>
            <family val="2"/>
          </rPr>
          <t xml:space="preserve">UVLO Latch Falling Edge
</t>
        </r>
        <r>
          <rPr>
            <sz val="9"/>
            <color indexed="81"/>
            <rFont val="Tahoma"/>
            <family val="2"/>
          </rPr>
          <t xml:space="preserve">
This is the UVLO input rail voltage at which an Undervoltage event occurs. If the input rail voltage is less than this value the LM5171 is in standby mode.</t>
        </r>
      </text>
    </comment>
    <comment ref="B100" authorId="0" shapeId="0" xr:uid="{00000000-0006-0000-0000-00003D000000}">
      <text>
        <r>
          <rPr>
            <b/>
            <sz val="9"/>
            <color indexed="81"/>
            <rFont val="Tahoma"/>
            <family val="2"/>
          </rPr>
          <t xml:space="preserve">UVLO Shutdown Voltage
</t>
        </r>
        <r>
          <rPr>
            <sz val="9"/>
            <color indexed="81"/>
            <rFont val="Tahoma"/>
            <family val="2"/>
          </rPr>
          <t>This is the UVLO input rail voltage at which the LM5171 will enter shutdown mode.</t>
        </r>
        <r>
          <rPr>
            <b/>
            <sz val="9"/>
            <color indexed="81"/>
            <rFont val="Tahoma"/>
            <family val="2"/>
          </rPr>
          <t xml:space="preserve"> </t>
        </r>
      </text>
    </comment>
    <comment ref="B105" authorId="0" shapeId="0" xr:uid="{906617FE-5719-4FD5-862C-F1FA27642F7D}">
      <text>
        <r>
          <rPr>
            <b/>
            <sz val="9"/>
            <color indexed="81"/>
            <rFont val="Tahoma"/>
            <family val="2"/>
          </rPr>
          <t xml:space="preserve">Overvoltage Level
</t>
        </r>
        <r>
          <rPr>
            <sz val="9"/>
            <color indexed="81"/>
            <rFont val="Tahoma"/>
            <family val="2"/>
          </rPr>
          <t xml:space="preserve">
OVP can be used to protect any rail, HV-port, LV-port, etc.</t>
        </r>
      </text>
    </comment>
    <comment ref="B106" authorId="0" shapeId="0" xr:uid="{C4089310-CC7A-4F39-94C1-B731D4DA1C96}">
      <text>
        <r>
          <rPr>
            <b/>
            <sz val="9"/>
            <color indexed="81"/>
            <rFont val="Tahoma"/>
            <family val="2"/>
          </rPr>
          <t>Suggested Resistor for R</t>
        </r>
        <r>
          <rPr>
            <b/>
            <vertAlign val="subscript"/>
            <sz val="9"/>
            <color indexed="81"/>
            <rFont val="Tahoma"/>
            <family val="2"/>
          </rPr>
          <t>OPVB</t>
        </r>
        <r>
          <rPr>
            <sz val="9"/>
            <color indexed="81"/>
            <rFont val="Tahoma"/>
            <family val="2"/>
          </rPr>
          <t xml:space="preserve">
This is calculated by assuming 1mA is drawn.
0.1~1mA is a good starting point for selecting OVP resistors.</t>
        </r>
      </text>
    </comment>
    <comment ref="B108" authorId="0" shapeId="0" xr:uid="{D306EB4E-0A01-4EAC-B5E3-F99612E8074B}">
      <text>
        <r>
          <rPr>
            <b/>
            <sz val="9"/>
            <color indexed="81"/>
            <rFont val="Tahoma"/>
            <family val="2"/>
          </rPr>
          <t>Suggested R</t>
        </r>
        <r>
          <rPr>
            <b/>
            <vertAlign val="subscript"/>
            <sz val="9"/>
            <color indexed="81"/>
            <rFont val="Tahoma"/>
            <family val="2"/>
          </rPr>
          <t>OVPT</t>
        </r>
        <r>
          <rPr>
            <sz val="9"/>
            <color indexed="81"/>
            <rFont val="Tahoma"/>
            <family val="2"/>
          </rPr>
          <t xml:space="preserve">
This is calculated based on selected R</t>
        </r>
        <r>
          <rPr>
            <vertAlign val="subscript"/>
            <sz val="9"/>
            <color indexed="81"/>
            <rFont val="Tahoma"/>
            <family val="2"/>
          </rPr>
          <t>OVPB</t>
        </r>
        <r>
          <rPr>
            <sz val="9"/>
            <color indexed="81"/>
            <rFont val="Tahoma"/>
            <family val="2"/>
          </rPr>
          <t>.</t>
        </r>
      </text>
    </comment>
    <comment ref="B116" authorId="0" shapeId="0" xr:uid="{00000000-0006-0000-0000-00003E000000}">
      <text>
        <r>
          <rPr>
            <b/>
            <sz val="9"/>
            <color indexed="81"/>
            <rFont val="Tahoma"/>
            <family val="2"/>
          </rPr>
          <t>IMON pin Voltage at V</t>
        </r>
        <r>
          <rPr>
            <b/>
            <vertAlign val="subscript"/>
            <sz val="9"/>
            <color indexed="81"/>
            <rFont val="Tahoma"/>
            <family val="2"/>
          </rPr>
          <t>CS</t>
        </r>
        <r>
          <rPr>
            <b/>
            <sz val="9"/>
            <color indexed="81"/>
            <rFont val="Tahoma"/>
            <family val="2"/>
          </rPr>
          <t xml:space="preserve"> = 50mV</t>
        </r>
        <r>
          <rPr>
            <sz val="9"/>
            <color indexed="81"/>
            <rFont val="Tahoma"/>
            <family val="2"/>
          </rPr>
          <t xml:space="preserve">
The maximum voltage that the IMONx pin will see at full load current. This is assuming that each channel (IMON1, IMON2, …) has an output that is not tied together. It is recommended to keep the IMONx pin </t>
        </r>
        <r>
          <rPr>
            <u/>
            <sz val="9"/>
            <color indexed="81"/>
            <rFont val="Tahoma"/>
            <family val="2"/>
          </rPr>
          <t xml:space="preserve">voltage below 3V </t>
        </r>
        <r>
          <rPr>
            <sz val="9"/>
            <color indexed="81"/>
            <rFont val="Tahoma"/>
            <family val="2"/>
          </rPr>
          <t>for accurate current measurements.</t>
        </r>
      </text>
    </comment>
    <comment ref="B117" authorId="0" shapeId="0" xr:uid="{00000000-0006-0000-0000-00003F000000}">
      <text>
        <r>
          <rPr>
            <b/>
            <sz val="9"/>
            <color indexed="81"/>
            <rFont val="Tahoma"/>
            <family val="2"/>
          </rPr>
          <t>Calculated R</t>
        </r>
        <r>
          <rPr>
            <b/>
            <vertAlign val="subscript"/>
            <sz val="9"/>
            <color indexed="81"/>
            <rFont val="Tahoma"/>
            <family val="2"/>
          </rPr>
          <t xml:space="preserve">IMON </t>
        </r>
        <r>
          <rPr>
            <b/>
            <sz val="9"/>
            <color indexed="81"/>
            <rFont val="Tahoma"/>
            <family val="2"/>
          </rPr>
          <t>Values</t>
        </r>
        <r>
          <rPr>
            <sz val="9"/>
            <color indexed="81"/>
            <rFont val="Tahoma"/>
            <family val="2"/>
          </rPr>
          <t xml:space="preserve">
These values are assuming that no IMON signal is tied together. The calculated value of the resistor will give the specified maximum V</t>
        </r>
        <r>
          <rPr>
            <vertAlign val="subscript"/>
            <sz val="9"/>
            <color indexed="81"/>
            <rFont val="Tahoma"/>
            <family val="2"/>
          </rPr>
          <t>IMON</t>
        </r>
        <r>
          <rPr>
            <sz val="9"/>
            <color indexed="81"/>
            <rFont val="Tahoma"/>
            <family val="2"/>
          </rPr>
          <t xml:space="preserve"> based on the datasheet equation.</t>
        </r>
      </text>
    </comment>
    <comment ref="B118" authorId="0" shapeId="0" xr:uid="{00000000-0006-0000-0000-000040000000}">
      <text>
        <r>
          <rPr>
            <b/>
            <sz val="9"/>
            <color indexed="81"/>
            <rFont val="Tahoma"/>
            <family val="2"/>
          </rPr>
          <t>Selected R</t>
        </r>
        <r>
          <rPr>
            <b/>
            <vertAlign val="subscript"/>
            <sz val="9"/>
            <color indexed="81"/>
            <rFont val="Tahoma"/>
            <family val="2"/>
          </rPr>
          <t>IMON</t>
        </r>
        <r>
          <rPr>
            <b/>
            <sz val="9"/>
            <color indexed="81"/>
            <rFont val="Tahoma"/>
            <family val="2"/>
          </rPr>
          <t xml:space="preserve"> Value</t>
        </r>
        <r>
          <rPr>
            <sz val="9"/>
            <color indexed="81"/>
            <rFont val="Tahoma"/>
            <family val="2"/>
          </rPr>
          <t xml:space="preserve">
The selected value should be based on the calculated value for the R</t>
        </r>
        <r>
          <rPr>
            <vertAlign val="subscript"/>
            <sz val="9"/>
            <color indexed="81"/>
            <rFont val="Tahoma"/>
            <family val="2"/>
          </rPr>
          <t>IMON</t>
        </r>
        <r>
          <rPr>
            <sz val="9"/>
            <color indexed="81"/>
            <rFont val="Tahoma"/>
            <family val="2"/>
          </rPr>
          <t xml:space="preserve"> resistors</t>
        </r>
      </text>
    </comment>
    <comment ref="B119" authorId="0" shapeId="0" xr:uid="{00000000-0006-0000-0000-000041000000}">
      <text>
        <r>
          <rPr>
            <b/>
            <sz val="9"/>
            <color indexed="81"/>
            <rFont val="Tahoma"/>
            <family val="2"/>
          </rPr>
          <t>V</t>
        </r>
        <r>
          <rPr>
            <b/>
            <vertAlign val="subscript"/>
            <sz val="9"/>
            <color indexed="81"/>
            <rFont val="Tahoma"/>
            <family val="2"/>
          </rPr>
          <t>IMON</t>
        </r>
        <r>
          <rPr>
            <b/>
            <sz val="9"/>
            <color indexed="81"/>
            <rFont val="Tahoma"/>
            <family val="2"/>
          </rPr>
          <t xml:space="preserve"> at full load</t>
        </r>
        <r>
          <rPr>
            <sz val="9"/>
            <color indexed="81"/>
            <rFont val="Tahoma"/>
            <family val="2"/>
          </rPr>
          <t xml:space="preserve">
This is the maximum value on the IMON pins based on the resistor selection made.</t>
        </r>
      </text>
    </comment>
    <comment ref="B120" authorId="0" shapeId="0" xr:uid="{00000000-0006-0000-0000-000042000000}">
      <text>
        <r>
          <rPr>
            <b/>
            <sz val="9"/>
            <color indexed="81"/>
            <rFont val="Tahoma"/>
            <family val="2"/>
          </rPr>
          <t>V</t>
        </r>
        <r>
          <rPr>
            <b/>
            <vertAlign val="subscript"/>
            <sz val="9"/>
            <color indexed="81"/>
            <rFont val="Tahoma"/>
            <family val="2"/>
          </rPr>
          <t>IMON</t>
        </r>
        <r>
          <rPr>
            <b/>
            <sz val="9"/>
            <color indexed="81"/>
            <rFont val="Tahoma"/>
            <family val="2"/>
          </rPr>
          <t xml:space="preserve"> at no load
</t>
        </r>
        <r>
          <rPr>
            <sz val="9"/>
            <color indexed="81"/>
            <rFont val="Tahoma"/>
            <family val="2"/>
          </rPr>
          <t>This is the voltage on the IMON pins at no load based on the resistor selection made. This is due to the 50uA offset current on the IMON pins</t>
        </r>
        <r>
          <rPr>
            <b/>
            <sz val="9"/>
            <color indexed="81"/>
            <rFont val="Tahoma"/>
            <family val="2"/>
          </rPr>
          <t>.</t>
        </r>
        <r>
          <rPr>
            <sz val="9"/>
            <color indexed="81"/>
            <rFont val="Tahoma"/>
            <family val="2"/>
          </rPr>
          <t xml:space="preserve">
</t>
        </r>
      </text>
    </comment>
    <comment ref="B121" authorId="0" shapeId="0" xr:uid="{00000000-0006-0000-0000-000043000000}">
      <text>
        <r>
          <rPr>
            <b/>
            <sz val="9"/>
            <color indexed="81"/>
            <rFont val="Tahoma"/>
            <family val="2"/>
          </rPr>
          <t>Calculated C</t>
        </r>
        <r>
          <rPr>
            <b/>
            <vertAlign val="subscript"/>
            <sz val="9"/>
            <color indexed="81"/>
            <rFont val="Tahoma"/>
            <family val="2"/>
          </rPr>
          <t>IMON</t>
        </r>
        <r>
          <rPr>
            <b/>
            <sz val="9"/>
            <color indexed="81"/>
            <rFont val="Tahoma"/>
            <family val="2"/>
          </rPr>
          <t xml:space="preserve">
</t>
        </r>
        <r>
          <rPr>
            <sz val="9"/>
            <color indexed="81"/>
            <rFont val="Tahoma"/>
            <family val="2"/>
          </rPr>
          <t xml:space="preserve">This is the capacitor that will filter out any noise on the IMONx pins. This value was calculated based on the recommendations of the datasheet.
</t>
        </r>
      </text>
    </comment>
    <comment ref="B122" authorId="0" shapeId="0" xr:uid="{00000000-0006-0000-0000-000044000000}">
      <text>
        <r>
          <rPr>
            <b/>
            <sz val="9"/>
            <color indexed="81"/>
            <rFont val="Tahoma"/>
            <family val="2"/>
          </rPr>
          <t>Selected C</t>
        </r>
        <r>
          <rPr>
            <b/>
            <vertAlign val="subscript"/>
            <sz val="9"/>
            <color indexed="81"/>
            <rFont val="Tahoma"/>
            <family val="2"/>
          </rPr>
          <t>IMON</t>
        </r>
        <r>
          <rPr>
            <b/>
            <sz val="9"/>
            <color indexed="81"/>
            <rFont val="Tahoma"/>
            <family val="2"/>
          </rPr>
          <t xml:space="preserve"> Capacitor</t>
        </r>
        <r>
          <rPr>
            <sz val="9"/>
            <color indexed="81"/>
            <rFont val="Tahoma"/>
            <family val="2"/>
          </rPr>
          <t xml:space="preserve">
This is the selected C</t>
        </r>
        <r>
          <rPr>
            <vertAlign val="subscript"/>
            <sz val="9"/>
            <color indexed="81"/>
            <rFont val="Tahoma"/>
            <family val="2"/>
          </rPr>
          <t>IMON</t>
        </r>
        <r>
          <rPr>
            <sz val="9"/>
            <color indexed="81"/>
            <rFont val="Tahoma"/>
            <family val="2"/>
          </rPr>
          <t xml:space="preserve"> capacitor. The selected value should be based on the calculated value above.</t>
        </r>
      </text>
    </comment>
    <comment ref="B123" authorId="0" shapeId="0" xr:uid="{00000000-0006-0000-0000-000045000000}">
      <text>
        <r>
          <rPr>
            <b/>
            <sz val="9"/>
            <color indexed="81"/>
            <rFont val="Tahoma"/>
            <family val="2"/>
          </rPr>
          <t>V</t>
        </r>
        <r>
          <rPr>
            <b/>
            <vertAlign val="subscript"/>
            <sz val="9"/>
            <color indexed="81"/>
            <rFont val="Tahoma"/>
            <family val="2"/>
          </rPr>
          <t>IMON</t>
        </r>
        <r>
          <rPr>
            <b/>
            <sz val="9"/>
            <color indexed="81"/>
            <rFont val="Tahoma"/>
            <family val="2"/>
          </rPr>
          <t xml:space="preserve"> Ripple
</t>
        </r>
        <r>
          <rPr>
            <sz val="9"/>
            <color indexed="81"/>
            <rFont val="Tahoma"/>
            <family val="2"/>
          </rPr>
          <t>This is the amount of voltage ripple on the IMON pin at full load. This can be decreased by increasing the C</t>
        </r>
        <r>
          <rPr>
            <vertAlign val="subscript"/>
            <sz val="9"/>
            <color indexed="81"/>
            <rFont val="Tahoma"/>
            <family val="2"/>
          </rPr>
          <t>IMON</t>
        </r>
        <r>
          <rPr>
            <sz val="9"/>
            <color indexed="81"/>
            <rFont val="Tahoma"/>
            <family val="2"/>
          </rPr>
          <t xml:space="preserve"> capacitance</t>
        </r>
      </text>
    </comment>
    <comment ref="B124" authorId="0" shapeId="0" xr:uid="{00000000-0006-0000-0000-000046000000}">
      <text>
        <r>
          <rPr>
            <b/>
            <sz val="9"/>
            <color indexed="81"/>
            <rFont val="Tahoma"/>
            <family val="2"/>
          </rPr>
          <t xml:space="preserve">Corner Frequency
</t>
        </r>
        <r>
          <rPr>
            <sz val="9"/>
            <color indexed="81"/>
            <rFont val="Tahoma"/>
            <family val="2"/>
          </rPr>
          <t>This is the corner frequency of the IMON resistor and capacitor.</t>
        </r>
      </text>
    </comment>
    <comment ref="B129" authorId="0" shapeId="0" xr:uid="{00000000-0006-0000-0000-000047000000}">
      <text>
        <r>
          <rPr>
            <b/>
            <sz val="9"/>
            <color indexed="81"/>
            <rFont val="Tahoma"/>
            <family val="2"/>
          </rPr>
          <t xml:space="preserve">Dead Time Configuration
</t>
        </r>
        <r>
          <rPr>
            <sz val="9"/>
            <color indexed="81"/>
            <rFont val="Tahoma"/>
            <family val="2"/>
          </rPr>
          <t>The dead time of the LM5171 can either be programmed or it can be set to adaptive. See the datasheet for more details</t>
        </r>
      </text>
    </comment>
    <comment ref="B130" authorId="0" shapeId="0" xr:uid="{00000000-0006-0000-0000-000048000000}">
      <text>
        <r>
          <rPr>
            <b/>
            <sz val="9"/>
            <color indexed="81"/>
            <rFont val="Tahoma"/>
            <family val="2"/>
          </rPr>
          <t>Selected Dead Time</t>
        </r>
        <r>
          <rPr>
            <sz val="9"/>
            <color indexed="81"/>
            <rFont val="Tahoma"/>
            <family val="2"/>
          </rPr>
          <t xml:space="preserve">
This is the dead time between the LO and HO signals
The </t>
        </r>
        <r>
          <rPr>
            <b/>
            <sz val="9"/>
            <color indexed="81"/>
            <rFont val="Tahoma"/>
            <family val="2"/>
          </rPr>
          <t>minimum</t>
        </r>
        <r>
          <rPr>
            <sz val="9"/>
            <color indexed="81"/>
            <rFont val="Tahoma"/>
            <family val="2"/>
          </rPr>
          <t xml:space="preserve"> value is: </t>
        </r>
        <r>
          <rPr>
            <b/>
            <sz val="9"/>
            <color indexed="81"/>
            <rFont val="Tahoma"/>
            <family val="2"/>
          </rPr>
          <t>15ns</t>
        </r>
        <r>
          <rPr>
            <sz val="9"/>
            <color indexed="81"/>
            <rFont val="Tahoma"/>
            <family val="2"/>
          </rPr>
          <t xml:space="preserve">
The </t>
        </r>
        <r>
          <rPr>
            <b/>
            <sz val="9"/>
            <color indexed="81"/>
            <rFont val="Tahoma"/>
            <family val="2"/>
          </rPr>
          <t>maximum</t>
        </r>
        <r>
          <rPr>
            <sz val="9"/>
            <color indexed="81"/>
            <rFont val="Tahoma"/>
            <family val="2"/>
          </rPr>
          <t xml:space="preserve"> values is: </t>
        </r>
        <r>
          <rPr>
            <b/>
            <sz val="9"/>
            <color indexed="81"/>
            <rFont val="Tahoma"/>
            <family val="2"/>
          </rPr>
          <t>200ns</t>
        </r>
      </text>
    </comment>
    <comment ref="B131" authorId="0" shapeId="0" xr:uid="{00000000-0006-0000-0000-000049000000}">
      <text>
        <r>
          <rPr>
            <b/>
            <sz val="9"/>
            <color indexed="81"/>
            <rFont val="Tahoma"/>
            <family val="2"/>
          </rPr>
          <t>Dead Time Resistor</t>
        </r>
        <r>
          <rPr>
            <sz val="9"/>
            <color indexed="81"/>
            <rFont val="Tahoma"/>
            <family val="2"/>
          </rPr>
          <t xml:space="preserve">
Calculated dead time resistor based on the above selected dead time value.</t>
        </r>
      </text>
    </comment>
    <comment ref="B132" authorId="0" shapeId="0" xr:uid="{00000000-0006-0000-0000-00004A000000}">
      <text>
        <r>
          <rPr>
            <b/>
            <sz val="9"/>
            <color indexed="81"/>
            <rFont val="Tahoma"/>
            <family val="2"/>
          </rPr>
          <t>Selected Dead Time Resistor</t>
        </r>
        <r>
          <rPr>
            <sz val="9"/>
            <color indexed="81"/>
            <rFont val="Tahoma"/>
            <family val="2"/>
          </rPr>
          <t xml:space="preserve">
This is the selected dead time resistor. The selection of this value should be based on the above calculated value</t>
        </r>
      </text>
    </comment>
    <comment ref="B133" authorId="0" shapeId="0" xr:uid="{00000000-0006-0000-0000-00004C000000}">
      <text>
        <r>
          <rPr>
            <b/>
            <sz val="9"/>
            <color indexed="81"/>
            <rFont val="Tahoma"/>
            <family val="2"/>
          </rPr>
          <t xml:space="preserve">Dead Time
</t>
        </r>
        <r>
          <rPr>
            <sz val="9"/>
            <color indexed="81"/>
            <rFont val="Tahoma"/>
            <family val="2"/>
          </rPr>
          <t xml:space="preserve">
This is the dead time between the LO and HO signal</t>
        </r>
      </text>
    </comment>
    <comment ref="B138" authorId="0" shapeId="0" xr:uid="{7A434734-0F83-42C8-ABE4-F7F801623F4D}">
      <text>
        <r>
          <rPr>
            <b/>
            <sz val="9"/>
            <color indexed="81"/>
            <rFont val="Tahoma"/>
            <family val="2"/>
          </rPr>
          <t>I</t>
        </r>
        <r>
          <rPr>
            <b/>
            <vertAlign val="superscript"/>
            <sz val="9"/>
            <color indexed="81"/>
            <rFont val="Tahoma"/>
            <family val="2"/>
          </rPr>
          <t>2</t>
        </r>
        <r>
          <rPr>
            <b/>
            <sz val="9"/>
            <color indexed="81"/>
            <rFont val="Tahoma"/>
            <family val="2"/>
          </rPr>
          <t>C Adress</t>
        </r>
        <r>
          <rPr>
            <sz val="9"/>
            <color indexed="81"/>
            <rFont val="Tahoma"/>
            <family val="2"/>
          </rPr>
          <t xml:space="preserve">
I</t>
        </r>
        <r>
          <rPr>
            <vertAlign val="superscript"/>
            <sz val="9"/>
            <color indexed="81"/>
            <rFont val="Tahoma"/>
            <family val="2"/>
          </rPr>
          <t>2</t>
        </r>
        <r>
          <rPr>
            <sz val="9"/>
            <color indexed="81"/>
            <rFont val="Tahoma"/>
            <family val="2"/>
          </rPr>
          <t>C Adress can be configured from 0x20 to 0x27.</t>
        </r>
      </text>
    </comment>
    <comment ref="B139" authorId="0" shapeId="0" xr:uid="{39D0AF20-32A5-4A0F-BEB5-9AC73C877007}">
      <text>
        <r>
          <rPr>
            <b/>
            <sz val="9"/>
            <color indexed="81"/>
            <rFont val="Tahoma"/>
            <family val="2"/>
          </rPr>
          <t xml:space="preserve">IMON option
</t>
        </r>
        <r>
          <rPr>
            <sz val="9"/>
            <color indexed="81"/>
            <rFont val="Tahoma"/>
            <family val="2"/>
          </rPr>
          <t xml:space="preserve">
Select </t>
        </r>
        <r>
          <rPr>
            <b/>
            <sz val="9"/>
            <color indexed="81"/>
            <rFont val="Tahoma"/>
            <family val="2"/>
          </rPr>
          <t>LV side current</t>
        </r>
        <r>
          <rPr>
            <sz val="9"/>
            <color indexed="81"/>
            <rFont val="Tahoma"/>
            <family val="2"/>
          </rPr>
          <t xml:space="preserve"> or </t>
        </r>
        <r>
          <rPr>
            <b/>
            <sz val="9"/>
            <color indexed="81"/>
            <rFont val="Tahoma"/>
            <family val="2"/>
          </rPr>
          <t>HV side current:</t>
        </r>
        <r>
          <rPr>
            <sz val="9"/>
            <color indexed="81"/>
            <rFont val="Tahoma"/>
            <family val="2"/>
          </rPr>
          <t xml:space="preserve">
</t>
        </r>
        <r>
          <rPr>
            <b/>
            <sz val="9"/>
            <color indexed="81"/>
            <rFont val="Tahoma"/>
            <family val="2"/>
          </rPr>
          <t>I_LV:</t>
        </r>
        <r>
          <rPr>
            <sz val="9"/>
            <color indexed="81"/>
            <rFont val="Tahoma"/>
            <family val="2"/>
          </rPr>
          <t xml:space="preserve"> LV side current i</t>
        </r>
        <r>
          <rPr>
            <vertAlign val="subscript"/>
            <sz val="9"/>
            <color indexed="81"/>
            <rFont val="Tahoma"/>
            <family val="2"/>
          </rPr>
          <t>LM</t>
        </r>
        <r>
          <rPr>
            <sz val="9"/>
            <color indexed="81"/>
            <rFont val="Tahoma"/>
            <family val="2"/>
          </rPr>
          <t xml:space="preserve">
</t>
        </r>
        <r>
          <rPr>
            <b/>
            <sz val="9"/>
            <color indexed="81"/>
            <rFont val="Tahoma"/>
            <family val="2"/>
          </rPr>
          <t xml:space="preserve">I_HV: </t>
        </r>
        <r>
          <rPr>
            <sz val="9"/>
            <color indexed="81"/>
            <rFont val="Tahoma"/>
            <family val="2"/>
          </rPr>
          <t>HV side current, that is D*i</t>
        </r>
        <r>
          <rPr>
            <vertAlign val="subscript"/>
            <sz val="9"/>
            <color indexed="81"/>
            <rFont val="Tahoma"/>
            <family val="2"/>
          </rPr>
          <t>LM</t>
        </r>
        <r>
          <rPr>
            <sz val="9"/>
            <color indexed="81"/>
            <rFont val="Tahoma"/>
            <family val="2"/>
          </rPr>
          <t xml:space="preserve"> for buck, (1-D)*i</t>
        </r>
        <r>
          <rPr>
            <vertAlign val="subscript"/>
            <sz val="9"/>
            <color indexed="81"/>
            <rFont val="Tahoma"/>
            <family val="2"/>
          </rPr>
          <t>LM</t>
        </r>
        <r>
          <rPr>
            <sz val="9"/>
            <color indexed="81"/>
            <rFont val="Tahoma"/>
            <family val="2"/>
          </rPr>
          <t xml:space="preserve"> for boost</t>
        </r>
      </text>
    </comment>
    <comment ref="B140" authorId="0" shapeId="0" xr:uid="{C28C21C7-A0F7-435E-9328-D49D23AEA223}">
      <text>
        <r>
          <rPr>
            <b/>
            <sz val="9"/>
            <color indexed="81"/>
            <rFont val="Tahoma"/>
            <family val="2"/>
          </rPr>
          <t xml:space="preserve">CFG Configuration
</t>
        </r>
        <r>
          <rPr>
            <sz val="9"/>
            <color indexed="81"/>
            <rFont val="Tahoma"/>
            <family val="2"/>
          </rPr>
          <t>Suggested R</t>
        </r>
        <r>
          <rPr>
            <vertAlign val="subscript"/>
            <sz val="9"/>
            <color indexed="81"/>
            <rFont val="Tahoma"/>
            <family val="2"/>
          </rPr>
          <t>CFG</t>
        </r>
        <r>
          <rPr>
            <sz val="9"/>
            <color indexed="81"/>
            <rFont val="Tahoma"/>
            <family val="2"/>
          </rPr>
          <t xml:space="preserve"> based on selected I</t>
        </r>
        <r>
          <rPr>
            <vertAlign val="superscript"/>
            <sz val="9"/>
            <color indexed="81"/>
            <rFont val="Tahoma"/>
            <family val="2"/>
          </rPr>
          <t>2</t>
        </r>
        <r>
          <rPr>
            <sz val="9"/>
            <color indexed="81"/>
            <rFont val="Tahoma"/>
            <family val="2"/>
          </rPr>
          <t>C adress and IMON option.</t>
        </r>
      </text>
    </comment>
    <comment ref="B142" authorId="0" shapeId="0" xr:uid="{F74E8B8A-1D7B-4330-9875-6C9882F18526}">
      <text>
        <r>
          <rPr>
            <b/>
            <sz val="9"/>
            <color indexed="81"/>
            <rFont val="Tahoma"/>
            <family val="2"/>
          </rPr>
          <t xml:space="preserve">Desired interleaving phase angle
</t>
        </r>
        <r>
          <rPr>
            <sz val="9"/>
            <color indexed="81"/>
            <rFont val="Tahoma"/>
            <family val="2"/>
          </rPr>
          <t xml:space="preserve">
Select 180° for 2*n phase interleaving.
Select 240° for 3*n phase interleaving.</t>
        </r>
      </text>
    </comment>
    <comment ref="B143" authorId="1" shapeId="0" xr:uid="{A390646E-E452-4CB3-BA9A-2C82BADBBC72}">
      <text>
        <r>
          <rPr>
            <b/>
            <sz val="9"/>
            <color indexed="81"/>
            <rFont val="Tahoma"/>
            <family val="2"/>
          </rPr>
          <t xml:space="preserve">OPT level:
</t>
        </r>
        <r>
          <rPr>
            <sz val="9"/>
            <color indexed="81"/>
            <rFont val="Tahoma"/>
            <family val="2"/>
          </rPr>
          <t>Set OPT to 0V ~ 1V for LOW.
Set OPT to 2V ~ 5V for HIGH.</t>
        </r>
      </text>
    </comment>
    <comment ref="B148" authorId="0" shapeId="0" xr:uid="{00000000-0006-0000-0000-00004D000000}">
      <text>
        <r>
          <rPr>
            <b/>
            <sz val="9"/>
            <color indexed="81"/>
            <rFont val="Tahoma"/>
            <family val="2"/>
          </rPr>
          <t xml:space="preserve">Path Resistance
</t>
        </r>
        <r>
          <rPr>
            <sz val="9"/>
            <color indexed="81"/>
            <rFont val="Tahoma"/>
            <family val="2"/>
          </rPr>
          <t>R</t>
        </r>
        <r>
          <rPr>
            <vertAlign val="subscript"/>
            <sz val="9"/>
            <color indexed="81"/>
            <rFont val="Tahoma"/>
            <family val="2"/>
          </rPr>
          <t>S</t>
        </r>
        <r>
          <rPr>
            <sz val="9"/>
            <color indexed="81"/>
            <rFont val="Tahoma"/>
            <family val="2"/>
          </rPr>
          <t xml:space="preserve"> is the total resistance along the current path excluding R</t>
        </r>
        <r>
          <rPr>
            <vertAlign val="subscript"/>
            <sz val="9"/>
            <color indexed="81"/>
            <rFont val="Tahoma"/>
            <family val="2"/>
          </rPr>
          <t>CS</t>
        </r>
        <r>
          <rPr>
            <sz val="9"/>
            <color indexed="81"/>
            <rFont val="Tahoma"/>
            <family val="2"/>
          </rPr>
          <t>. It should include the R</t>
        </r>
        <r>
          <rPr>
            <vertAlign val="subscript"/>
            <sz val="9"/>
            <color indexed="81"/>
            <rFont val="Tahoma"/>
            <family val="2"/>
          </rPr>
          <t>ds(on)</t>
        </r>
        <r>
          <rPr>
            <sz val="9"/>
            <color indexed="81"/>
            <rFont val="Tahoma"/>
            <family val="2"/>
          </rPr>
          <t xml:space="preserve"> of the MOSFETs, inductor DCR and the PCB trace impedance.
A reasonable estimate of this value is 10m</t>
        </r>
        <r>
          <rPr>
            <sz val="9"/>
            <color indexed="81"/>
            <rFont val="Calibri"/>
            <family val="2"/>
          </rPr>
          <t>Ω.</t>
        </r>
      </text>
    </comment>
    <comment ref="B149" authorId="0" shapeId="0" xr:uid="{00000000-0006-0000-0000-00004F000000}">
      <text>
        <r>
          <rPr>
            <b/>
            <sz val="9"/>
            <color indexed="81"/>
            <rFont val="Tahoma"/>
            <family val="2"/>
          </rPr>
          <t>Suggested Cross Over Frequency</t>
        </r>
        <r>
          <rPr>
            <sz val="9"/>
            <color indexed="81"/>
            <rFont val="Tahoma"/>
            <family val="2"/>
          </rPr>
          <t xml:space="preserve">
This is estimated to be 1/6.28 of the switching frequency. This should allow for easy compensation and stability when adding voltage loop control.</t>
        </r>
      </text>
    </comment>
    <comment ref="B150" authorId="0" shapeId="0" xr:uid="{00000000-0006-0000-0000-000050000000}">
      <text>
        <r>
          <rPr>
            <b/>
            <sz val="9"/>
            <color indexed="81"/>
            <rFont val="Tahoma"/>
            <family val="2"/>
          </rPr>
          <t>Crossover Frequency</t>
        </r>
        <r>
          <rPr>
            <sz val="9"/>
            <color indexed="81"/>
            <rFont val="Tahoma"/>
            <family val="2"/>
          </rPr>
          <t xml:space="preserve">
This is the selected crossover frequency of the current loop. The compensation values will be set to this
</t>
        </r>
      </text>
    </comment>
    <comment ref="B151" authorId="0" shapeId="0" xr:uid="{00000000-0006-0000-0000-000051000000}">
      <text>
        <r>
          <rPr>
            <b/>
            <sz val="9"/>
            <color indexed="81"/>
            <rFont val="Tahoma"/>
            <family val="2"/>
          </rPr>
          <t>Calculated R</t>
        </r>
        <r>
          <rPr>
            <b/>
            <vertAlign val="subscript"/>
            <sz val="9"/>
            <color indexed="81"/>
            <rFont val="Tahoma"/>
            <family val="2"/>
          </rPr>
          <t>COMP</t>
        </r>
        <r>
          <rPr>
            <b/>
            <sz val="9"/>
            <color indexed="81"/>
            <rFont val="Tahoma"/>
            <family val="2"/>
          </rPr>
          <t xml:space="preserve">
</t>
        </r>
        <r>
          <rPr>
            <sz val="9"/>
            <color indexed="81"/>
            <rFont val="Tahoma"/>
            <family val="2"/>
          </rPr>
          <t>See datasheet for details on how to calculate this value</t>
        </r>
      </text>
    </comment>
    <comment ref="B152" authorId="0" shapeId="0" xr:uid="{00000000-0006-0000-0000-000052000000}">
      <text>
        <r>
          <rPr>
            <b/>
            <sz val="9"/>
            <color indexed="81"/>
            <rFont val="Tahoma"/>
            <family val="2"/>
          </rPr>
          <t>Selected R</t>
        </r>
        <r>
          <rPr>
            <b/>
            <vertAlign val="subscript"/>
            <sz val="9"/>
            <color indexed="81"/>
            <rFont val="Tahoma"/>
            <family val="2"/>
          </rPr>
          <t>COMP</t>
        </r>
        <r>
          <rPr>
            <b/>
            <sz val="9"/>
            <color indexed="81"/>
            <rFont val="Tahoma"/>
            <family val="2"/>
          </rPr>
          <t xml:space="preserve">
</t>
        </r>
        <r>
          <rPr>
            <sz val="9"/>
            <color indexed="81"/>
            <rFont val="Tahoma"/>
            <family val="2"/>
          </rPr>
          <t xml:space="preserve">This value should reflect the calculated value above. 
Adjusting this value will affect the pole and the zero location of the compensation.
</t>
        </r>
      </text>
    </comment>
    <comment ref="B153" authorId="0" shapeId="0" xr:uid="{00000000-0006-0000-0000-000053000000}">
      <text>
        <r>
          <rPr>
            <b/>
            <sz val="9"/>
            <color indexed="81"/>
            <rFont val="Tahoma"/>
            <family val="2"/>
          </rPr>
          <t>Calculated C</t>
        </r>
        <r>
          <rPr>
            <b/>
            <vertAlign val="subscript"/>
            <sz val="9"/>
            <color indexed="81"/>
            <rFont val="Tahoma"/>
            <family val="2"/>
          </rPr>
          <t>COMP</t>
        </r>
        <r>
          <rPr>
            <b/>
            <sz val="9"/>
            <color indexed="81"/>
            <rFont val="Tahoma"/>
            <family val="2"/>
          </rPr>
          <t xml:space="preserve">
</t>
        </r>
        <r>
          <rPr>
            <sz val="9"/>
            <color indexed="81"/>
            <rFont val="Tahoma"/>
            <family val="2"/>
          </rPr>
          <t>See datasheet for details on how to calculate this value</t>
        </r>
      </text>
    </comment>
    <comment ref="B154" authorId="0" shapeId="0" xr:uid="{00000000-0006-0000-0000-000054000000}">
      <text>
        <r>
          <rPr>
            <b/>
            <sz val="9"/>
            <color indexed="81"/>
            <rFont val="Tahoma"/>
            <family val="2"/>
          </rPr>
          <t>Selected C</t>
        </r>
        <r>
          <rPr>
            <b/>
            <vertAlign val="subscript"/>
            <sz val="9"/>
            <color indexed="81"/>
            <rFont val="Tahoma"/>
            <family val="2"/>
          </rPr>
          <t>COMP</t>
        </r>
        <r>
          <rPr>
            <b/>
            <sz val="9"/>
            <color indexed="81"/>
            <rFont val="Tahoma"/>
            <family val="2"/>
          </rPr>
          <t xml:space="preserve">
</t>
        </r>
        <r>
          <rPr>
            <sz val="9"/>
            <color indexed="81"/>
            <rFont val="Tahoma"/>
            <family val="2"/>
          </rPr>
          <t xml:space="preserve">
This value should reflect the calculated value above. 
Adjusting this value will affect the zero location of the compensation.</t>
        </r>
        <r>
          <rPr>
            <b/>
            <sz val="9"/>
            <color indexed="81"/>
            <rFont val="Tahoma"/>
            <family val="2"/>
          </rPr>
          <t xml:space="preserve">
</t>
        </r>
      </text>
    </comment>
    <comment ref="B155" authorId="0" shapeId="0" xr:uid="{00000000-0006-0000-0000-000055000000}">
      <text>
        <r>
          <rPr>
            <b/>
            <sz val="9"/>
            <color indexed="81"/>
            <rFont val="Tahoma"/>
            <family val="2"/>
          </rPr>
          <t>Calculated CHF</t>
        </r>
        <r>
          <rPr>
            <sz val="9"/>
            <color indexed="81"/>
            <rFont val="Tahoma"/>
            <family val="2"/>
          </rPr>
          <t xml:space="preserve">
See datasheet for details on how to calculate this value
</t>
        </r>
      </text>
    </comment>
    <comment ref="B156" authorId="0" shapeId="0" xr:uid="{00000000-0006-0000-0000-000056000000}">
      <text>
        <r>
          <rPr>
            <b/>
            <sz val="9"/>
            <color indexed="81"/>
            <rFont val="Tahoma"/>
            <family val="2"/>
          </rPr>
          <t>Selected C</t>
        </r>
        <r>
          <rPr>
            <b/>
            <vertAlign val="subscript"/>
            <sz val="9"/>
            <color indexed="81"/>
            <rFont val="Tahoma"/>
            <family val="2"/>
          </rPr>
          <t>HF</t>
        </r>
        <r>
          <rPr>
            <b/>
            <sz val="9"/>
            <color indexed="81"/>
            <rFont val="Tahoma"/>
            <family val="2"/>
          </rPr>
          <t xml:space="preserve">
</t>
        </r>
        <r>
          <rPr>
            <sz val="9"/>
            <color indexed="81"/>
            <rFont val="Tahoma"/>
            <family val="2"/>
          </rPr>
          <t xml:space="preserve">
This value should reflect the calculated value above. 
Adjusting this value will affect the pole location of the compensation network.
</t>
        </r>
      </text>
    </comment>
    <comment ref="B157" authorId="0" shapeId="0" xr:uid="{00000000-0006-0000-0000-000057000000}">
      <text>
        <r>
          <rPr>
            <b/>
            <sz val="9"/>
            <color indexed="81"/>
            <rFont val="Tahoma"/>
            <family val="2"/>
          </rPr>
          <t>Compensation Zero Location (F</t>
        </r>
        <r>
          <rPr>
            <b/>
            <vertAlign val="subscript"/>
            <sz val="9"/>
            <color indexed="81"/>
            <rFont val="Tahoma"/>
            <family val="2"/>
          </rPr>
          <t>Zcomp</t>
        </r>
        <r>
          <rPr>
            <b/>
            <sz val="9"/>
            <color indexed="81"/>
            <rFont val="Tahoma"/>
            <family val="2"/>
          </rPr>
          <t xml:space="preserve">)
</t>
        </r>
        <r>
          <rPr>
            <sz val="9"/>
            <color indexed="81"/>
            <rFont val="Tahoma"/>
            <family val="2"/>
          </rPr>
          <t xml:space="preserve">
This is the location of the zero in the compensation network based 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COMP</t>
        </r>
        <r>
          <rPr>
            <sz val="9"/>
            <color indexed="81"/>
            <rFont val="Tahoma"/>
            <family val="2"/>
          </rPr>
          <t>. The location of the zero can be seen on the bode plot.</t>
        </r>
      </text>
    </comment>
    <comment ref="B158" authorId="0" shapeId="0" xr:uid="{00000000-0006-0000-0000-000058000000}">
      <text>
        <r>
          <rPr>
            <b/>
            <sz val="9"/>
            <color indexed="81"/>
            <rFont val="Tahoma"/>
            <family val="2"/>
          </rPr>
          <t>Compensation Pole Location (F</t>
        </r>
        <r>
          <rPr>
            <b/>
            <vertAlign val="subscript"/>
            <sz val="9"/>
            <color indexed="81"/>
            <rFont val="Tahoma"/>
            <family val="2"/>
          </rPr>
          <t>Pcomp</t>
        </r>
        <r>
          <rPr>
            <b/>
            <sz val="9"/>
            <color indexed="81"/>
            <rFont val="Tahoma"/>
            <family val="2"/>
          </rPr>
          <t xml:space="preserve">)
</t>
        </r>
        <r>
          <rPr>
            <sz val="9"/>
            <color indexed="81"/>
            <rFont val="Tahoma"/>
            <family val="2"/>
          </rPr>
          <t>This is the location of the pole in the compensation network based 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HF</t>
        </r>
        <r>
          <rPr>
            <sz val="9"/>
            <color indexed="81"/>
            <rFont val="Tahoma"/>
            <family val="2"/>
          </rPr>
          <t>. The location of the pole can be seen on the bode plot</t>
        </r>
        <r>
          <rPr>
            <b/>
            <sz val="9"/>
            <color indexed="81"/>
            <rFont val="Tahoma"/>
            <family val="2"/>
          </rPr>
          <t>.</t>
        </r>
        <r>
          <rPr>
            <sz val="9"/>
            <color indexed="81"/>
            <rFont val="Tahoma"/>
            <family val="2"/>
          </rPr>
          <t xml:space="preserve">
</t>
        </r>
      </text>
    </comment>
    <comment ref="B163" authorId="1" shapeId="0" xr:uid="{63B5AAB1-56C0-477B-ADBD-1FCDE7DF5F00}">
      <text>
        <r>
          <rPr>
            <b/>
            <sz val="9"/>
            <color indexed="81"/>
            <rFont val="Tahoma"/>
            <family val="2"/>
          </rPr>
          <t>Suggested Resistor for R</t>
        </r>
        <r>
          <rPr>
            <b/>
            <vertAlign val="subscript"/>
            <sz val="9"/>
            <color indexed="81"/>
            <rFont val="Tahoma"/>
            <family val="2"/>
          </rPr>
          <t>ISETB</t>
        </r>
        <r>
          <rPr>
            <b/>
            <sz val="9"/>
            <color indexed="81"/>
            <rFont val="Tahoma"/>
            <family val="2"/>
          </rPr>
          <t xml:space="preserve">
</t>
        </r>
        <r>
          <rPr>
            <sz val="9"/>
            <color indexed="81"/>
            <rFont val="Tahoma"/>
            <family val="2"/>
          </rPr>
          <t>R</t>
        </r>
        <r>
          <rPr>
            <vertAlign val="subscript"/>
            <sz val="9"/>
            <color indexed="81"/>
            <rFont val="Tahoma"/>
            <family val="2"/>
          </rPr>
          <t>ISETB</t>
        </r>
        <r>
          <rPr>
            <sz val="9"/>
            <color indexed="81"/>
            <rFont val="Tahoma"/>
            <family val="2"/>
          </rPr>
          <t xml:space="preserve"> and R</t>
        </r>
        <r>
          <rPr>
            <vertAlign val="subscript"/>
            <sz val="9"/>
            <color indexed="81"/>
            <rFont val="Tahoma"/>
            <family val="2"/>
          </rPr>
          <t>ISETT</t>
        </r>
        <r>
          <rPr>
            <sz val="9"/>
            <color indexed="81"/>
            <rFont val="Tahoma"/>
            <family val="2"/>
          </rPr>
          <t xml:space="preserve"> are set to limit the maximum voltage on ISETx, thus the maximum average inductor current is limited.</t>
        </r>
        <r>
          <rPr>
            <b/>
            <sz val="9"/>
            <color indexed="81"/>
            <rFont val="Tahoma"/>
            <family val="2"/>
          </rPr>
          <t xml:space="preserve">
</t>
        </r>
        <r>
          <rPr>
            <sz val="9"/>
            <color indexed="81"/>
            <rFont val="Tahoma"/>
            <family val="2"/>
          </rPr>
          <t>This is calculated by assuming 1mA is drawn.
0.1~1mA is a good starting point for selecting R</t>
        </r>
        <r>
          <rPr>
            <vertAlign val="subscript"/>
            <sz val="9"/>
            <color indexed="81"/>
            <rFont val="Tahoma"/>
            <family val="2"/>
          </rPr>
          <t>ISETB</t>
        </r>
        <r>
          <rPr>
            <sz val="9"/>
            <color indexed="81"/>
            <rFont val="Tahoma"/>
            <family val="2"/>
          </rPr>
          <t xml:space="preserve"> resistors.</t>
        </r>
      </text>
    </comment>
    <comment ref="B165" authorId="1" shapeId="0" xr:uid="{7B841614-00E8-4962-A971-EAA3FBC31BAA}">
      <text>
        <r>
          <rPr>
            <b/>
            <sz val="9"/>
            <color indexed="81"/>
            <rFont val="Tahoma"/>
            <family val="2"/>
          </rPr>
          <t>Suggested R</t>
        </r>
        <r>
          <rPr>
            <b/>
            <vertAlign val="subscript"/>
            <sz val="9"/>
            <color indexed="81"/>
            <rFont val="Tahoma"/>
            <family val="2"/>
          </rPr>
          <t>ISETT</t>
        </r>
        <r>
          <rPr>
            <b/>
            <sz val="9"/>
            <color indexed="81"/>
            <rFont val="Tahoma"/>
            <family val="2"/>
          </rPr>
          <t xml:space="preserve">
</t>
        </r>
        <r>
          <rPr>
            <sz val="9"/>
            <color indexed="81"/>
            <rFont val="Tahoma"/>
            <family val="2"/>
          </rPr>
          <t>This is calculated based on selected R</t>
        </r>
        <r>
          <rPr>
            <vertAlign val="subscript"/>
            <sz val="9"/>
            <color indexed="81"/>
            <rFont val="Tahoma"/>
            <family val="2"/>
          </rPr>
          <t>ISETB</t>
        </r>
        <r>
          <rPr>
            <sz val="9"/>
            <color indexed="81"/>
            <rFont val="Tahoma"/>
            <family val="2"/>
          </rPr>
          <t xml:space="preserve">. </t>
        </r>
        <r>
          <rPr>
            <vertAlign val="subscript"/>
            <sz val="9"/>
            <color indexed="81"/>
            <rFont val="Tahoma"/>
            <family val="2"/>
          </rPr>
          <t xml:space="preserve">
</t>
        </r>
        <r>
          <rPr>
            <sz val="9"/>
            <color indexed="81"/>
            <rFont val="Tahoma"/>
            <family val="2"/>
          </rPr>
          <t>If this is negative, you may need to reduce R</t>
        </r>
        <r>
          <rPr>
            <vertAlign val="subscript"/>
            <sz val="9"/>
            <color indexed="81"/>
            <rFont val="Tahoma"/>
            <family val="2"/>
          </rPr>
          <t>cs</t>
        </r>
        <r>
          <rPr>
            <sz val="9"/>
            <color indexed="81"/>
            <rFont val="Tahoma"/>
            <family val="2"/>
          </rPr>
          <t xml:space="preserve"> so that the peak current can be reached.</t>
        </r>
      </text>
    </comment>
    <comment ref="B171" authorId="0" shapeId="0" xr:uid="{00000000-0006-0000-0000-00005A000000}">
      <text>
        <r>
          <rPr>
            <b/>
            <sz val="9"/>
            <color indexed="81"/>
            <rFont val="Tahoma"/>
            <family val="2"/>
          </rPr>
          <t>Selected Bottom Resistor</t>
        </r>
        <r>
          <rPr>
            <sz val="9"/>
            <color indexed="81"/>
            <rFont val="Tahoma"/>
            <family val="2"/>
          </rPr>
          <t xml:space="preserve">
This is the selected bottom resistor of the FBLV resistor divider. 
A good starting point for this value is in the 1kΩ to 20k</t>
        </r>
        <r>
          <rPr>
            <sz val="9"/>
            <color indexed="81"/>
            <rFont val="Calibri"/>
            <family val="2"/>
          </rPr>
          <t>Ω</t>
        </r>
        <r>
          <rPr>
            <sz val="9"/>
            <color indexed="81"/>
            <rFont val="Tahoma"/>
            <family val="2"/>
          </rPr>
          <t xml:space="preserve"> range. 
The larger this value the less current will flow in the divider making the FBLV signal more susceptible to noise. However the current draw from the output will be smaller.</t>
        </r>
      </text>
    </comment>
    <comment ref="B172" authorId="0" shapeId="0" xr:uid="{00000000-0006-0000-0000-00005B000000}">
      <text>
        <r>
          <rPr>
            <b/>
            <sz val="9"/>
            <color indexed="81"/>
            <rFont val="Tahoma"/>
            <family val="2"/>
          </rPr>
          <t>Calculated R</t>
        </r>
        <r>
          <rPr>
            <b/>
            <vertAlign val="subscript"/>
            <sz val="9"/>
            <color indexed="81"/>
            <rFont val="Tahoma"/>
            <family val="2"/>
          </rPr>
          <t>FBT</t>
        </r>
        <r>
          <rPr>
            <b/>
            <sz val="9"/>
            <color indexed="81"/>
            <rFont val="Tahoma"/>
            <family val="2"/>
          </rPr>
          <t xml:space="preserve">
</t>
        </r>
        <r>
          <rPr>
            <sz val="9"/>
            <color indexed="81"/>
            <rFont val="Tahoma"/>
            <family val="2"/>
          </rPr>
          <t>This value is calculated to set the output voltage to LV Port Nominal Voltage.</t>
        </r>
      </text>
    </comment>
    <comment ref="B173" authorId="0" shapeId="0" xr:uid="{00000000-0006-0000-0000-00005C000000}">
      <text>
        <r>
          <rPr>
            <b/>
            <sz val="9"/>
            <color indexed="81"/>
            <rFont val="Tahoma"/>
            <family val="2"/>
          </rPr>
          <t>Selected R</t>
        </r>
        <r>
          <rPr>
            <b/>
            <vertAlign val="subscript"/>
            <sz val="9"/>
            <color indexed="81"/>
            <rFont val="Tahoma"/>
            <family val="2"/>
          </rPr>
          <t>FBT</t>
        </r>
        <r>
          <rPr>
            <b/>
            <sz val="9"/>
            <color indexed="81"/>
            <rFont val="Tahoma"/>
            <family val="2"/>
          </rPr>
          <t xml:space="preserve">
</t>
        </r>
        <r>
          <rPr>
            <sz val="9"/>
            <color indexed="81"/>
            <rFont val="Tahoma"/>
            <family val="2"/>
          </rPr>
          <t xml:space="preserve">
The selected value should reflect the calculated value above.</t>
        </r>
      </text>
    </comment>
    <comment ref="B174" authorId="0" shapeId="0" xr:uid="{00000000-0006-0000-0000-00005D000000}">
      <text>
        <r>
          <rPr>
            <b/>
            <sz val="9"/>
            <color indexed="81"/>
            <rFont val="Tahoma"/>
            <family val="2"/>
          </rPr>
          <t>Suggested Crossover Frequency</t>
        </r>
        <r>
          <rPr>
            <sz val="9"/>
            <color indexed="81"/>
            <rFont val="Tahoma"/>
            <family val="2"/>
          </rPr>
          <t xml:space="preserve">
This value is set to be around 1/10 of the current loop cross over frequency. 
For best operation the voltage loop should be slower than the current loop.</t>
        </r>
      </text>
    </comment>
    <comment ref="B175" authorId="0" shapeId="0" xr:uid="{00000000-0006-0000-0000-00005E000000}">
      <text>
        <r>
          <rPr>
            <b/>
            <sz val="9"/>
            <color indexed="81"/>
            <rFont val="Tahoma"/>
            <family val="2"/>
          </rPr>
          <t>Selected Crossover Frequency</t>
        </r>
        <r>
          <rPr>
            <sz val="9"/>
            <color indexed="81"/>
            <rFont val="Tahoma"/>
            <family val="2"/>
          </rPr>
          <t xml:space="preserve">
This is the desired crossover frequency. The voltage loop compensation values will be calculated to have a loop cross over frequency of this value.</t>
        </r>
      </text>
    </comment>
    <comment ref="B176" authorId="0" shapeId="0" xr:uid="{00000000-0006-0000-0000-00005F000000}">
      <text>
        <r>
          <rPr>
            <b/>
            <sz val="9"/>
            <color indexed="81"/>
            <rFont val="Tahoma"/>
            <family val="2"/>
          </rPr>
          <t>R</t>
        </r>
        <r>
          <rPr>
            <b/>
            <vertAlign val="subscript"/>
            <sz val="9"/>
            <color indexed="81"/>
            <rFont val="Tahoma"/>
            <family val="2"/>
          </rPr>
          <t>COMP</t>
        </r>
        <r>
          <rPr>
            <b/>
            <sz val="9"/>
            <color indexed="81"/>
            <rFont val="Tahoma"/>
            <family val="2"/>
          </rPr>
          <t xml:space="preserve"> Calculated
</t>
        </r>
        <r>
          <rPr>
            <sz val="9"/>
            <color indexed="81"/>
            <rFont val="Tahoma"/>
            <family val="2"/>
          </rPr>
          <t>This is the calculated R</t>
        </r>
        <r>
          <rPr>
            <vertAlign val="subscript"/>
            <sz val="9"/>
            <color indexed="81"/>
            <rFont val="Tahoma"/>
            <family val="2"/>
          </rPr>
          <t>COMP</t>
        </r>
        <r>
          <rPr>
            <sz val="9"/>
            <color indexed="81"/>
            <rFont val="Tahoma"/>
            <family val="2"/>
          </rPr>
          <t xml:space="preserve"> value based on the selected crossover frequency</t>
        </r>
      </text>
    </comment>
    <comment ref="B178" authorId="0" shapeId="0" xr:uid="{00000000-0006-0000-0000-000060000000}">
      <text>
        <r>
          <rPr>
            <b/>
            <sz val="9"/>
            <color indexed="81"/>
            <rFont val="Tahoma"/>
            <family val="2"/>
          </rPr>
          <t>C</t>
        </r>
        <r>
          <rPr>
            <b/>
            <vertAlign val="subscript"/>
            <sz val="9"/>
            <color indexed="81"/>
            <rFont val="Tahoma"/>
            <family val="2"/>
          </rPr>
          <t>COMP</t>
        </r>
        <r>
          <rPr>
            <b/>
            <sz val="9"/>
            <color indexed="81"/>
            <rFont val="Tahoma"/>
            <family val="2"/>
          </rPr>
          <t xml:space="preserve"> Calculated
</t>
        </r>
        <r>
          <rPr>
            <sz val="9"/>
            <color indexed="81"/>
            <rFont val="Tahoma"/>
            <family val="2"/>
          </rPr>
          <t>This is the calculated C</t>
        </r>
        <r>
          <rPr>
            <vertAlign val="subscript"/>
            <sz val="9"/>
            <color indexed="81"/>
            <rFont val="Tahoma"/>
            <family val="2"/>
          </rPr>
          <t>COMP</t>
        </r>
        <r>
          <rPr>
            <sz val="9"/>
            <color indexed="81"/>
            <rFont val="Tahoma"/>
            <family val="2"/>
          </rPr>
          <t xml:space="preserve"> value based on the selected crossover frequency
</t>
        </r>
      </text>
    </comment>
    <comment ref="B180" authorId="0" shapeId="0" xr:uid="{00000000-0006-0000-0000-000061000000}">
      <text>
        <r>
          <rPr>
            <b/>
            <sz val="9"/>
            <color indexed="81"/>
            <rFont val="Tahoma"/>
            <family val="2"/>
          </rPr>
          <t>C</t>
        </r>
        <r>
          <rPr>
            <b/>
            <vertAlign val="subscript"/>
            <sz val="9"/>
            <color indexed="81"/>
            <rFont val="Tahoma"/>
            <family val="2"/>
          </rPr>
          <t>HF</t>
        </r>
        <r>
          <rPr>
            <b/>
            <sz val="9"/>
            <color indexed="81"/>
            <rFont val="Tahoma"/>
            <family val="2"/>
          </rPr>
          <t xml:space="preserve"> Calculated
</t>
        </r>
        <r>
          <rPr>
            <sz val="9"/>
            <color indexed="81"/>
            <rFont val="Tahoma"/>
            <family val="2"/>
          </rPr>
          <t xml:space="preserve">
This is the calculated C</t>
        </r>
        <r>
          <rPr>
            <vertAlign val="subscript"/>
            <sz val="9"/>
            <color indexed="81"/>
            <rFont val="Tahoma"/>
            <family val="2"/>
          </rPr>
          <t>HF</t>
        </r>
        <r>
          <rPr>
            <sz val="9"/>
            <color indexed="81"/>
            <rFont val="Tahoma"/>
            <family val="2"/>
          </rPr>
          <t xml:space="preserve"> value based on the selected crossover frequency</t>
        </r>
      </text>
    </comment>
    <comment ref="B182" authorId="0" shapeId="0" xr:uid="{00000000-0006-0000-0000-000062000000}">
      <text>
        <r>
          <rPr>
            <b/>
            <sz val="9"/>
            <color indexed="81"/>
            <rFont val="Tahoma"/>
            <family val="2"/>
          </rPr>
          <t>Compensation Zero Location (F</t>
        </r>
        <r>
          <rPr>
            <b/>
            <vertAlign val="subscript"/>
            <sz val="9"/>
            <color indexed="81"/>
            <rFont val="Tahoma"/>
            <family val="2"/>
          </rPr>
          <t>Zcomp</t>
        </r>
        <r>
          <rPr>
            <b/>
            <sz val="9"/>
            <color indexed="81"/>
            <rFont val="Tahoma"/>
            <family val="2"/>
          </rPr>
          <t xml:space="preserve">)
</t>
        </r>
        <r>
          <rPr>
            <sz val="9"/>
            <color indexed="81"/>
            <rFont val="Tahoma"/>
            <family val="2"/>
          </rPr>
          <t xml:space="preserve">
This is the location of the zero in the compensation network based 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COMP</t>
        </r>
        <r>
          <rPr>
            <sz val="9"/>
            <color indexed="81"/>
            <rFont val="Tahoma"/>
            <family val="2"/>
          </rPr>
          <t>. The location of the zero can be seen on the bode plot.</t>
        </r>
      </text>
    </comment>
    <comment ref="B183" authorId="0" shapeId="0" xr:uid="{00000000-0006-0000-0000-000063000000}">
      <text>
        <r>
          <rPr>
            <b/>
            <sz val="9"/>
            <color indexed="81"/>
            <rFont val="Tahoma"/>
            <family val="2"/>
          </rPr>
          <t>Compensation Pole Location (F</t>
        </r>
        <r>
          <rPr>
            <b/>
            <vertAlign val="subscript"/>
            <sz val="9"/>
            <color indexed="81"/>
            <rFont val="Tahoma"/>
            <family val="2"/>
          </rPr>
          <t>Pcomp</t>
        </r>
        <r>
          <rPr>
            <b/>
            <sz val="9"/>
            <color indexed="81"/>
            <rFont val="Tahoma"/>
            <family val="2"/>
          </rPr>
          <t xml:space="preserve">)
</t>
        </r>
        <r>
          <rPr>
            <sz val="9"/>
            <color indexed="81"/>
            <rFont val="Tahoma"/>
            <family val="2"/>
          </rPr>
          <t xml:space="preserve">
This is the location of the pole in the compensation network based 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HF</t>
        </r>
        <r>
          <rPr>
            <sz val="9"/>
            <color indexed="81"/>
            <rFont val="Tahoma"/>
            <family val="2"/>
          </rPr>
          <t>. The location of the pole can be seen on the bode plot.</t>
        </r>
      </text>
    </comment>
    <comment ref="B188" authorId="0" shapeId="0" xr:uid="{00000000-0006-0000-0000-000065000000}">
      <text>
        <r>
          <rPr>
            <b/>
            <sz val="9"/>
            <color indexed="81"/>
            <rFont val="Tahoma"/>
            <family val="2"/>
          </rPr>
          <t xml:space="preserve">Selected Bottom Resistor
</t>
        </r>
        <r>
          <rPr>
            <sz val="9"/>
            <color indexed="81"/>
            <rFont val="Tahoma"/>
            <family val="2"/>
          </rPr>
          <t>This is the selected bottom resistor of the FB resistor divider. 
A good starting point for this value is in the 1kΩ to 20kΩ range. 
The larger this value the less current will flow in the divider making the FBHV signal more susceptible to noise. However the current draw from the output will be smaller.</t>
        </r>
      </text>
    </comment>
    <comment ref="B189" authorId="0" shapeId="0" xr:uid="{00000000-0006-0000-0000-000066000000}">
      <text>
        <r>
          <rPr>
            <b/>
            <sz val="9"/>
            <color indexed="81"/>
            <rFont val="Tahoma"/>
            <family val="2"/>
          </rPr>
          <t>Calculated R</t>
        </r>
        <r>
          <rPr>
            <b/>
            <vertAlign val="subscript"/>
            <sz val="9"/>
            <color indexed="81"/>
            <rFont val="Tahoma"/>
            <family val="2"/>
          </rPr>
          <t>FBT</t>
        </r>
        <r>
          <rPr>
            <b/>
            <sz val="9"/>
            <color indexed="81"/>
            <rFont val="Tahoma"/>
            <family val="2"/>
          </rPr>
          <t xml:space="preserve">
</t>
        </r>
        <r>
          <rPr>
            <sz val="9"/>
            <color indexed="81"/>
            <rFont val="Tahoma"/>
            <family val="2"/>
          </rPr>
          <t>This value is calculated to set the output voltage to HV Port Nominal Voltage.</t>
        </r>
      </text>
    </comment>
    <comment ref="B190" authorId="0" shapeId="0" xr:uid="{00000000-0006-0000-0000-000067000000}">
      <text>
        <r>
          <rPr>
            <b/>
            <sz val="9"/>
            <color indexed="81"/>
            <rFont val="Tahoma"/>
            <family val="2"/>
          </rPr>
          <t>Selected R</t>
        </r>
        <r>
          <rPr>
            <b/>
            <vertAlign val="subscript"/>
            <sz val="9"/>
            <color indexed="81"/>
            <rFont val="Tahoma"/>
            <family val="2"/>
          </rPr>
          <t>FBT</t>
        </r>
        <r>
          <rPr>
            <b/>
            <sz val="9"/>
            <color indexed="81"/>
            <rFont val="Tahoma"/>
            <family val="2"/>
          </rPr>
          <t xml:space="preserve">
</t>
        </r>
        <r>
          <rPr>
            <sz val="9"/>
            <color indexed="81"/>
            <rFont val="Tahoma"/>
            <family val="2"/>
          </rPr>
          <t xml:space="preserve">The selected value should reflect the calculated value above.
</t>
        </r>
      </text>
    </comment>
    <comment ref="B191" authorId="0" shapeId="0" xr:uid="{00000000-0006-0000-0000-000068000000}">
      <text>
        <r>
          <rPr>
            <b/>
            <sz val="9"/>
            <color indexed="81"/>
            <rFont val="Tahoma"/>
            <family val="2"/>
          </rPr>
          <t xml:space="preserve">Suggested Crossover Frequency
</t>
        </r>
        <r>
          <rPr>
            <sz val="9"/>
            <color indexed="81"/>
            <rFont val="Tahoma"/>
            <family val="2"/>
          </rPr>
          <t>This is suggested to be the lower value of:
    1/5 of the boost mode operation's RHP zero frequency (F</t>
        </r>
        <r>
          <rPr>
            <vertAlign val="subscript"/>
            <sz val="9"/>
            <color indexed="81"/>
            <rFont val="Tahoma"/>
            <family val="2"/>
          </rPr>
          <t>RHPzero</t>
        </r>
        <r>
          <rPr>
            <sz val="9"/>
            <color indexed="81"/>
            <rFont val="Tahoma"/>
            <family val="2"/>
          </rPr>
          <t>). 
    1/10 of the current loop crossover frequency.</t>
        </r>
      </text>
    </comment>
    <comment ref="B192" authorId="0" shapeId="0" xr:uid="{00000000-0006-0000-0000-000069000000}">
      <text>
        <r>
          <rPr>
            <b/>
            <sz val="9"/>
            <color indexed="81"/>
            <rFont val="Tahoma"/>
            <family val="2"/>
          </rPr>
          <t>Selected Crossover Frequency</t>
        </r>
        <r>
          <rPr>
            <sz val="9"/>
            <color indexed="81"/>
            <rFont val="Tahoma"/>
            <family val="2"/>
          </rPr>
          <t xml:space="preserve">
This is the desired crossover frequency. The voltage loop compensation values will be calculated to have a loop cross over frequency of this value.</t>
        </r>
      </text>
    </comment>
    <comment ref="B193" authorId="0" shapeId="0" xr:uid="{00000000-0006-0000-0000-00006A000000}">
      <text>
        <r>
          <rPr>
            <b/>
            <sz val="9"/>
            <color indexed="81"/>
            <rFont val="Tahoma"/>
            <family val="2"/>
          </rPr>
          <t>R</t>
        </r>
        <r>
          <rPr>
            <b/>
            <vertAlign val="subscript"/>
            <sz val="9"/>
            <color indexed="81"/>
            <rFont val="Tahoma"/>
            <family val="2"/>
          </rPr>
          <t>COMP</t>
        </r>
        <r>
          <rPr>
            <b/>
            <sz val="9"/>
            <color indexed="81"/>
            <rFont val="Tahoma"/>
            <family val="2"/>
          </rPr>
          <t xml:space="preserve"> Calculated
</t>
        </r>
        <r>
          <rPr>
            <sz val="9"/>
            <color indexed="81"/>
            <rFont val="Tahoma"/>
            <family val="2"/>
          </rPr>
          <t>This is the calculated R</t>
        </r>
        <r>
          <rPr>
            <vertAlign val="subscript"/>
            <sz val="9"/>
            <color indexed="81"/>
            <rFont val="Tahoma"/>
            <family val="2"/>
          </rPr>
          <t>COMP</t>
        </r>
        <r>
          <rPr>
            <sz val="9"/>
            <color indexed="81"/>
            <rFont val="Tahoma"/>
            <family val="2"/>
          </rPr>
          <t xml:space="preserve"> value based on the selected crossover frequency
</t>
        </r>
      </text>
    </comment>
    <comment ref="B195" authorId="0" shapeId="0" xr:uid="{00000000-0006-0000-0000-00006B000000}">
      <text>
        <r>
          <rPr>
            <b/>
            <sz val="9"/>
            <color indexed="81"/>
            <rFont val="Tahoma"/>
            <family val="2"/>
          </rPr>
          <t>C</t>
        </r>
        <r>
          <rPr>
            <b/>
            <vertAlign val="subscript"/>
            <sz val="9"/>
            <color indexed="81"/>
            <rFont val="Tahoma"/>
            <family val="2"/>
          </rPr>
          <t>COMP</t>
        </r>
        <r>
          <rPr>
            <b/>
            <sz val="9"/>
            <color indexed="81"/>
            <rFont val="Tahoma"/>
            <family val="2"/>
          </rPr>
          <t xml:space="preserve"> Calculated
</t>
        </r>
        <r>
          <rPr>
            <sz val="9"/>
            <color indexed="81"/>
            <rFont val="Tahoma"/>
            <family val="2"/>
          </rPr>
          <t>This is the calculated C</t>
        </r>
        <r>
          <rPr>
            <vertAlign val="subscript"/>
            <sz val="9"/>
            <color indexed="81"/>
            <rFont val="Tahoma"/>
            <family val="2"/>
          </rPr>
          <t>COMP</t>
        </r>
        <r>
          <rPr>
            <sz val="9"/>
            <color indexed="81"/>
            <rFont val="Tahoma"/>
            <family val="2"/>
          </rPr>
          <t xml:space="preserve"> value based on the selected crossover frequency
</t>
        </r>
      </text>
    </comment>
    <comment ref="B197" authorId="0" shapeId="0" xr:uid="{00000000-0006-0000-0000-00006C000000}">
      <text>
        <r>
          <rPr>
            <b/>
            <sz val="9"/>
            <color indexed="81"/>
            <rFont val="Tahoma"/>
            <family val="2"/>
          </rPr>
          <t>C</t>
        </r>
        <r>
          <rPr>
            <b/>
            <vertAlign val="subscript"/>
            <sz val="9"/>
            <color indexed="81"/>
            <rFont val="Tahoma"/>
            <family val="2"/>
          </rPr>
          <t>HF</t>
        </r>
        <r>
          <rPr>
            <b/>
            <sz val="9"/>
            <color indexed="81"/>
            <rFont val="Tahoma"/>
            <family val="2"/>
          </rPr>
          <t xml:space="preserve"> Calculated</t>
        </r>
        <r>
          <rPr>
            <sz val="9"/>
            <color indexed="81"/>
            <rFont val="Tahoma"/>
            <family val="2"/>
          </rPr>
          <t xml:space="preserve">
This is the calculated C</t>
        </r>
        <r>
          <rPr>
            <vertAlign val="subscript"/>
            <sz val="9"/>
            <color indexed="81"/>
            <rFont val="Tahoma"/>
            <family val="2"/>
          </rPr>
          <t>HF</t>
        </r>
        <r>
          <rPr>
            <sz val="9"/>
            <color indexed="81"/>
            <rFont val="Tahoma"/>
            <family val="2"/>
          </rPr>
          <t xml:space="preserve"> value based on the selected crossover frequency</t>
        </r>
      </text>
    </comment>
    <comment ref="B199" authorId="0" shapeId="0" xr:uid="{00000000-0006-0000-0000-00006D000000}">
      <text>
        <r>
          <rPr>
            <b/>
            <sz val="9"/>
            <color indexed="81"/>
            <rFont val="Tahoma"/>
            <family val="2"/>
          </rPr>
          <t>Compensation Zero Location (F</t>
        </r>
        <r>
          <rPr>
            <b/>
            <vertAlign val="subscript"/>
            <sz val="9"/>
            <color indexed="81"/>
            <rFont val="Tahoma"/>
            <family val="2"/>
          </rPr>
          <t>Zcomp</t>
        </r>
        <r>
          <rPr>
            <b/>
            <sz val="9"/>
            <color indexed="81"/>
            <rFont val="Tahoma"/>
            <family val="2"/>
          </rPr>
          <t>)</t>
        </r>
        <r>
          <rPr>
            <sz val="9"/>
            <color indexed="81"/>
            <rFont val="Tahoma"/>
            <family val="2"/>
          </rPr>
          <t xml:space="preserve">
This is the location of the zero in the compensation network based 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COMP</t>
        </r>
        <r>
          <rPr>
            <sz val="9"/>
            <color indexed="81"/>
            <rFont val="Tahoma"/>
            <family val="2"/>
          </rPr>
          <t>. The location of the zero can be seen on the bode plot.</t>
        </r>
      </text>
    </comment>
    <comment ref="B200" authorId="0" shapeId="0" xr:uid="{00000000-0006-0000-0000-00006E000000}">
      <text>
        <r>
          <rPr>
            <b/>
            <sz val="9"/>
            <color indexed="81"/>
            <rFont val="Tahoma"/>
            <family val="2"/>
          </rPr>
          <t>Compensation Pole Location (F</t>
        </r>
        <r>
          <rPr>
            <b/>
            <vertAlign val="subscript"/>
            <sz val="9"/>
            <color indexed="81"/>
            <rFont val="Tahoma"/>
            <family val="2"/>
          </rPr>
          <t>Pcomp</t>
        </r>
        <r>
          <rPr>
            <b/>
            <sz val="9"/>
            <color indexed="81"/>
            <rFont val="Tahoma"/>
            <family val="2"/>
          </rPr>
          <t xml:space="preserve">)
</t>
        </r>
        <r>
          <rPr>
            <sz val="9"/>
            <color indexed="81"/>
            <rFont val="Tahoma"/>
            <family val="2"/>
          </rPr>
          <t xml:space="preserve">
This is the location of the pole in the compensation network based on the selection of R</t>
        </r>
        <r>
          <rPr>
            <vertAlign val="subscript"/>
            <sz val="9"/>
            <color indexed="81"/>
            <rFont val="Tahoma"/>
            <family val="2"/>
          </rPr>
          <t>COMP</t>
        </r>
        <r>
          <rPr>
            <sz val="9"/>
            <color indexed="81"/>
            <rFont val="Tahoma"/>
            <family val="2"/>
          </rPr>
          <t xml:space="preserve"> and C</t>
        </r>
        <r>
          <rPr>
            <vertAlign val="subscript"/>
            <sz val="9"/>
            <color indexed="81"/>
            <rFont val="Tahoma"/>
            <family val="2"/>
          </rPr>
          <t>HF</t>
        </r>
        <r>
          <rPr>
            <sz val="9"/>
            <color indexed="81"/>
            <rFont val="Tahoma"/>
            <family val="2"/>
          </rPr>
          <t xml:space="preserve">. The location of the pole can be seen on the bode plot.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PPD-NPS</author>
  </authors>
  <commentList>
    <comment ref="A45" authorId="0" shapeId="0" xr:uid="{00000000-0006-0000-0100-000001000000}">
      <text>
        <r>
          <rPr>
            <b/>
            <sz val="9"/>
            <color indexed="81"/>
            <rFont val="Tahoma"/>
            <family val="2"/>
          </rPr>
          <t>PPD-NPS:</t>
        </r>
        <r>
          <rPr>
            <sz val="9"/>
            <color indexed="81"/>
            <rFont val="Tahoma"/>
            <family val="2"/>
          </rPr>
          <t xml:space="preserve">
These should be updated and double checked
</t>
        </r>
      </text>
    </comment>
    <comment ref="E68" authorId="0" shapeId="0" xr:uid="{00000000-0006-0000-0100-000002000000}">
      <text>
        <r>
          <rPr>
            <b/>
            <sz val="9"/>
            <color indexed="81"/>
            <rFont val="Tahoma"/>
            <family val="2"/>
          </rPr>
          <t>Assuming the nominal voltages are the setpoint voltages for the 12V and 48V rail</t>
        </r>
      </text>
    </comment>
    <comment ref="A69" authorId="0" shapeId="0" xr:uid="{00000000-0006-0000-0100-000003000000}">
      <text>
        <r>
          <rPr>
            <b/>
            <sz val="9"/>
            <color indexed="81"/>
            <rFont val="Tahoma"/>
            <family val="2"/>
          </rPr>
          <t xml:space="preserve">This is the worst case ripple for the selected Inductance value and the maximum designed for load per phase
</t>
        </r>
      </text>
    </comment>
    <comment ref="A106" authorId="0" shapeId="0" xr:uid="{00000000-0006-0000-0100-000005000000}">
      <text>
        <r>
          <rPr>
            <b/>
            <sz val="9"/>
            <color indexed="81"/>
            <rFont val="Tahoma"/>
            <family val="2"/>
          </rPr>
          <t>PPD-NPS:</t>
        </r>
        <r>
          <rPr>
            <sz val="9"/>
            <color indexed="81"/>
            <rFont val="Tahoma"/>
            <family val="2"/>
          </rPr>
          <t xml:space="preserve">
This is calculated at Full Load (ISETA = 2.5V). For over ISETA values  the soft start time will be less due to the SS capacitor charging to a lower voltage</t>
        </r>
      </text>
    </comment>
    <comment ref="E139" authorId="0" shapeId="0" xr:uid="{00000000-0006-0000-0100-000006000000}">
      <text>
        <r>
          <rPr>
            <b/>
            <sz val="9"/>
            <color indexed="81"/>
            <rFont val="Tahoma"/>
            <family val="2"/>
          </rPr>
          <t>PPD-NPS:</t>
        </r>
        <r>
          <rPr>
            <sz val="9"/>
            <color indexed="81"/>
            <rFont val="Tahoma"/>
            <family val="2"/>
          </rPr>
          <t xml:space="preserve">
This is due to the internal circuitry of the LM5170. Around 4.5V on the IOUTx pin the current source becomes less accurate and will cause error
</t>
        </r>
      </text>
    </comment>
    <comment ref="E142" authorId="0" shapeId="0" xr:uid="{00000000-0006-0000-0100-000007000000}">
      <text>
        <r>
          <rPr>
            <b/>
            <sz val="9"/>
            <color indexed="81"/>
            <rFont val="Tahoma"/>
            <family val="2"/>
          </rPr>
          <t>PPD-NPS:</t>
        </r>
        <r>
          <rPr>
            <sz val="9"/>
            <color indexed="81"/>
            <rFont val="Tahoma"/>
            <family val="2"/>
          </rPr>
          <t xml:space="preserve">
PPD-NPS:
This is due to the internal circuitry of the LM5170. Around 4.5V on the IOUTx pin the current source becomes less accurate and will cause error</t>
        </r>
      </text>
    </comment>
    <comment ref="A167" authorId="0" shapeId="0" xr:uid="{00000000-0006-0000-0100-000008000000}">
      <text>
        <r>
          <rPr>
            <b/>
            <sz val="9"/>
            <color indexed="81"/>
            <rFont val="Tahoma"/>
            <family val="2"/>
          </rPr>
          <t>PPD-NPS:</t>
        </r>
        <r>
          <rPr>
            <sz val="9"/>
            <color indexed="81"/>
            <rFont val="Tahoma"/>
            <family val="2"/>
          </rPr>
          <t xml:space="preserve">
This will need to be altered in the future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PPD-NPS</author>
  </authors>
  <commentList>
    <comment ref="G5" authorId="0" shapeId="0" xr:uid="{00000000-0006-0000-0200-000001000000}">
      <text>
        <r>
          <rPr>
            <b/>
            <sz val="9"/>
            <color indexed="81"/>
            <rFont val="Tahoma"/>
            <family val="2"/>
          </rPr>
          <t xml:space="preserve">Follows Equation 28 of the datasheet
</t>
        </r>
      </text>
    </comment>
    <comment ref="AF76" authorId="0" shapeId="0" xr:uid="{00000000-0006-0000-0200-000002000000}">
      <text>
        <r>
          <rPr>
            <b/>
            <sz val="9"/>
            <color indexed="81"/>
            <rFont val="Tahoma"/>
            <family val="2"/>
          </rPr>
          <t>PPD-NPS:</t>
        </r>
        <r>
          <rPr>
            <sz val="9"/>
            <color indexed="81"/>
            <rFont val="Tahoma"/>
            <family val="2"/>
          </rPr>
          <t xml:space="preserve">
Multiplied by feedforward ramp already to save step</t>
        </r>
      </text>
    </comment>
    <comment ref="A134" authorId="0" shapeId="0" xr:uid="{00000000-0006-0000-0200-000003000000}">
      <text>
        <r>
          <rPr>
            <b/>
            <sz val="9"/>
            <color indexed="81"/>
            <rFont val="Tahoma"/>
            <family val="2"/>
          </rPr>
          <t>PPD-NPS:</t>
        </r>
        <r>
          <rPr>
            <sz val="9"/>
            <color indexed="81"/>
            <rFont val="Tahoma"/>
            <family val="2"/>
          </rPr>
          <t xml:space="preserve">
This is the Modulcator Gain at the Selected Crossover Frequncy of the </t>
        </r>
      </text>
    </comment>
    <comment ref="BD166" authorId="0" shapeId="0" xr:uid="{00000000-0006-0000-0200-000004000000}">
      <text>
        <r>
          <rPr>
            <b/>
            <sz val="9"/>
            <color indexed="81"/>
            <rFont val="Tahoma"/>
            <family val="2"/>
          </rPr>
          <t>PPD-NPS:</t>
        </r>
        <r>
          <rPr>
            <sz val="9"/>
            <color indexed="81"/>
            <rFont val="Tahoma"/>
            <family val="2"/>
          </rPr>
          <t xml:space="preserve">
Multiplied by feedforward ramp already to save step</t>
        </r>
      </text>
    </comment>
    <comment ref="A224" authorId="0" shapeId="0" xr:uid="{00000000-0006-0000-0200-000005000000}">
      <text>
        <r>
          <rPr>
            <b/>
            <sz val="9"/>
            <color indexed="81"/>
            <rFont val="Tahoma"/>
            <family val="2"/>
          </rPr>
          <t xml:space="preserve">PPD-NPS:
</t>
        </r>
        <r>
          <rPr>
            <sz val="9"/>
            <color indexed="81"/>
            <rFont val="Tahoma"/>
            <family val="2"/>
          </rPr>
          <t xml:space="preserve">Selected Cross over Frequency for Boost Mode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PPD-NPS</author>
  </authors>
  <commentList>
    <comment ref="A43" authorId="0" shapeId="0" xr:uid="{00000000-0006-0000-0400-000001000000}">
      <text>
        <r>
          <rPr>
            <b/>
            <sz val="9"/>
            <color indexed="81"/>
            <rFont val="Tahoma"/>
            <family val="2"/>
          </rPr>
          <t xml:space="preserve">ABS Max voltage on the RAMP pin
</t>
        </r>
      </text>
    </comment>
    <comment ref="A44" authorId="0" shapeId="0" xr:uid="{00000000-0006-0000-0400-000002000000}">
      <text>
        <r>
          <rPr>
            <b/>
            <sz val="9"/>
            <color indexed="81"/>
            <rFont val="Tahoma"/>
            <family val="2"/>
          </rPr>
          <t xml:space="preserve">Minimum RAMPx Voltage that will define an invalid signal
</t>
        </r>
      </text>
    </comment>
  </commentList>
</comments>
</file>

<file path=xl/sharedStrings.xml><?xml version="1.0" encoding="utf-8"?>
<sst xmlns="http://schemas.openxmlformats.org/spreadsheetml/2006/main" count="1141" uniqueCount="595">
  <si>
    <t>V12 Nom</t>
  </si>
  <si>
    <t>V</t>
  </si>
  <si>
    <t>Switching Frequency</t>
  </si>
  <si>
    <t>kHz</t>
  </si>
  <si>
    <t>A</t>
  </si>
  <si>
    <t>Selected Inductor</t>
  </si>
  <si>
    <t>uH</t>
  </si>
  <si>
    <r>
      <t>m</t>
    </r>
    <r>
      <rPr>
        <sz val="11"/>
        <color theme="1"/>
        <rFont val="Calibri"/>
        <family val="2"/>
      </rPr>
      <t>Ω</t>
    </r>
  </si>
  <si>
    <t>Selected Sense Resistor</t>
  </si>
  <si>
    <t>Inductor Selection</t>
  </si>
  <si>
    <t>DCM Boundaries</t>
  </si>
  <si>
    <t>Current Sense Voltage</t>
  </si>
  <si>
    <t>Peak Current</t>
  </si>
  <si>
    <t>Ripple Current</t>
  </si>
  <si>
    <t>LO Duty Cycle</t>
  </si>
  <si>
    <t>HO Duty Cycle</t>
  </si>
  <si>
    <r>
      <t>k</t>
    </r>
    <r>
      <rPr>
        <sz val="11"/>
        <color theme="1"/>
        <rFont val="Calibri"/>
        <family val="2"/>
      </rPr>
      <t>Ω</t>
    </r>
  </si>
  <si>
    <t>Spec Name</t>
  </si>
  <si>
    <t xml:space="preserve">Min </t>
  </si>
  <si>
    <t>Nom</t>
  </si>
  <si>
    <t>Max</t>
  </si>
  <si>
    <t>Unit</t>
  </si>
  <si>
    <t>Minimum Off Time</t>
  </si>
  <si>
    <t>s</t>
  </si>
  <si>
    <t>V48_Nom to V12_Nom</t>
  </si>
  <si>
    <t>Buck Channel Current</t>
  </si>
  <si>
    <t>%</t>
  </si>
  <si>
    <t>Total Number of Phases</t>
  </si>
  <si>
    <t>Value V Load Current</t>
  </si>
  <si>
    <t>Inductor DCR</t>
  </si>
  <si>
    <t>V48</t>
  </si>
  <si>
    <t>Output Impedance</t>
  </si>
  <si>
    <t>uF</t>
  </si>
  <si>
    <t>Frequency</t>
  </si>
  <si>
    <t>Frequency (rad/s)</t>
  </si>
  <si>
    <t>Frequency (Hz)</t>
  </si>
  <si>
    <t>Gain (dB)</t>
  </si>
  <si>
    <t>Phase (Degree)</t>
  </si>
  <si>
    <t>Complex Impedance</t>
  </si>
  <si>
    <t>kOhm</t>
  </si>
  <si>
    <t>nF</t>
  </si>
  <si>
    <t>gm (Error Amp)</t>
  </si>
  <si>
    <t>V/V</t>
  </si>
  <si>
    <t>Current Sense Amp Gain</t>
  </si>
  <si>
    <t>V12 Output Current</t>
  </si>
  <si>
    <t>ISETA to IL constant</t>
  </si>
  <si>
    <t>IOUT offset</t>
  </si>
  <si>
    <t>IOUT gm</t>
  </si>
  <si>
    <t>ohm</t>
  </si>
  <si>
    <t>ohm*Hz</t>
  </si>
  <si>
    <t>Oscillator Factor</t>
  </si>
  <si>
    <t>OVPA Resistance</t>
  </si>
  <si>
    <t>OVPB Resistance</t>
  </si>
  <si>
    <t>Ohm</t>
  </si>
  <si>
    <t>IPK Source Current</t>
  </si>
  <si>
    <t>BRK SYNCOUT Level: No Fault Check</t>
  </si>
  <si>
    <t>BRK SYNCOUT Level: Fault Check &gt;</t>
  </si>
  <si>
    <t>Dead Time Constant</t>
  </si>
  <si>
    <t>s/Ohm</t>
  </si>
  <si>
    <t>R IPK Calculation Voltage Constant</t>
  </si>
  <si>
    <t>R IPK Calculation Current Constant</t>
  </si>
  <si>
    <t>ISETD Resistance</t>
  </si>
  <si>
    <t>VCC UV Threshold</t>
  </si>
  <si>
    <t>UVLO Shutdown Thresold</t>
  </si>
  <si>
    <t>SS current</t>
  </si>
  <si>
    <t>Dead Time Adaptive Threshold</t>
  </si>
  <si>
    <t>UVLO Release Threshold</t>
  </si>
  <si>
    <t>Maximmum Ripple Current</t>
  </si>
  <si>
    <t>mV</t>
  </si>
  <si>
    <t>Inductor Ripple Currents</t>
  </si>
  <si>
    <t>V48_Nom to V12_Nom (Current Sense Voltage)</t>
  </si>
  <si>
    <t>V48_Max to V12_Nom</t>
  </si>
  <si>
    <t>V12_Min</t>
  </si>
  <si>
    <t>V12_Nom</t>
  </si>
  <si>
    <t>V12_Max</t>
  </si>
  <si>
    <t>Full Load V12 Calculations vs V48</t>
  </si>
  <si>
    <t>Ω</t>
  </si>
  <si>
    <t>V48_Nom to V12_Nom (Inductor AVG Current)</t>
  </si>
  <si>
    <t>V48_Min to V12_Nom (Current Sense Voltage)</t>
  </si>
  <si>
    <t>V48_Min to V12_Nom (Inductor AVG Current)</t>
  </si>
  <si>
    <t>V48_Max to V12_Nom (Current Sense Voltage)</t>
  </si>
  <si>
    <t>V48_Max to V12_Nom (Inductor AVG Current)</t>
  </si>
  <si>
    <t>Switching Parameters</t>
  </si>
  <si>
    <t>Hz</t>
  </si>
  <si>
    <t>Minmum Off Time (Buck)</t>
  </si>
  <si>
    <t>Minmum Off Time (Boost)</t>
  </si>
  <si>
    <t>Spec Violation</t>
  </si>
  <si>
    <t>Parameters</t>
  </si>
  <si>
    <t>V12 Port (Buck)</t>
  </si>
  <si>
    <t>V12 Port (Boost)</t>
  </si>
  <si>
    <t>V48 Port</t>
  </si>
  <si>
    <t>Oscillator Frequency</t>
  </si>
  <si>
    <t>Dead Time</t>
  </si>
  <si>
    <t>ns</t>
  </si>
  <si>
    <t>x</t>
  </si>
  <si>
    <t>kΩ</t>
  </si>
  <si>
    <t>Max V RAMPx</t>
  </si>
  <si>
    <t>Min V RAMPx</t>
  </si>
  <si>
    <t>V12</t>
  </si>
  <si>
    <t>V48_Min</t>
  </si>
  <si>
    <t>V48_Nom</t>
  </si>
  <si>
    <t>V48_Max</t>
  </si>
  <si>
    <t>UVLO</t>
  </si>
  <si>
    <t>ms</t>
  </si>
  <si>
    <t>Calculated SS Value</t>
  </si>
  <si>
    <t>ISETA MAX</t>
  </si>
  <si>
    <t>UVLO Type Selection</t>
  </si>
  <si>
    <t>V48 Rail Selection</t>
  </si>
  <si>
    <t>Minimum 48V Rail Voltage</t>
  </si>
  <si>
    <t>Nominal 48V Rail Voltage</t>
  </si>
  <si>
    <t>V12 Rail Selection</t>
  </si>
  <si>
    <t>Minimum 12V Rail Voltage</t>
  </si>
  <si>
    <t>Nominal 12V Rail Voltage</t>
  </si>
  <si>
    <t>Maximum 12V rail Voltage</t>
  </si>
  <si>
    <t>Maximum 48V rail Voltage</t>
  </si>
  <si>
    <t>User Input</t>
  </si>
  <si>
    <t>Calculated Value</t>
  </si>
  <si>
    <t>Fsw</t>
  </si>
  <si>
    <t>Converter switching frequency</t>
  </si>
  <si>
    <t>Current Selection</t>
  </si>
  <si>
    <t xml:space="preserve">V48 Output Current (Max) </t>
  </si>
  <si>
    <t>Occurs at V12=(V12_Max) and V48=(V48_Max)</t>
  </si>
  <si>
    <t>Number of Phase</t>
  </si>
  <si>
    <t>This is the number of phases that the total design will use</t>
  </si>
  <si>
    <t>W</t>
  </si>
  <si>
    <t>mOhm</t>
  </si>
  <si>
    <t>Spec Values</t>
  </si>
  <si>
    <t>Calculated Current Sense Resistor</t>
  </si>
  <si>
    <t>Calculated to have full load be 50mV</t>
  </si>
  <si>
    <t>Rcs</t>
  </si>
  <si>
    <t>Per phase Max Power current (based on RCS)</t>
  </si>
  <si>
    <t xml:space="preserve">V12 Output Current Per Phase </t>
  </si>
  <si>
    <t>I_Channel</t>
  </si>
  <si>
    <t>Variable</t>
  </si>
  <si>
    <t>Total Output Current</t>
  </si>
  <si>
    <t xml:space="preserve">Total Maximum Output Power </t>
  </si>
  <si>
    <t>Inductor  Calculations</t>
  </si>
  <si>
    <t>RT</t>
  </si>
  <si>
    <t>Oscilator set resistor Resistor</t>
  </si>
  <si>
    <t>Selected Ripple Ratio</t>
  </si>
  <si>
    <t>Conditions for worst case ripple</t>
  </si>
  <si>
    <t>Load Values where the Converter will enter DCM</t>
  </si>
  <si>
    <t>SS Voltage Threshold</t>
  </si>
  <si>
    <t>UVLO Calculations</t>
  </si>
  <si>
    <t>UVLO Enabled?</t>
  </si>
  <si>
    <t>UVLO Enable</t>
  </si>
  <si>
    <t>μC Input</t>
  </si>
  <si>
    <t>Resistor Divider</t>
  </si>
  <si>
    <t>UVLO Power Delivery Voltage</t>
  </si>
  <si>
    <t>Top Resistor Value</t>
  </si>
  <si>
    <t>Suggested Bottom Resistor</t>
  </si>
  <si>
    <t>Selected Bottom Resistor</t>
  </si>
  <si>
    <t>UVLO Shutdown Voltage</t>
  </si>
  <si>
    <t>UVLO Power Delivery Hystersis</t>
  </si>
  <si>
    <t>UVLO Release Hyst Current</t>
  </si>
  <si>
    <t>Selected Softstart Capacitor</t>
  </si>
  <si>
    <t>Actual Softstart Time</t>
  </si>
  <si>
    <t>Current Sense Voltage at Full load</t>
  </si>
  <si>
    <t>Selected IOUT Resistance</t>
  </si>
  <si>
    <t>IOUT MAX (Recommened to keep accuracy high)</t>
  </si>
  <si>
    <t>IOUT ranges</t>
  </si>
  <si>
    <t>Buck Mode Voltage Loop Transfer Functions</t>
  </si>
  <si>
    <t>V48 Max and V12Nom</t>
  </si>
  <si>
    <t xml:space="preserve">Maximum Per phase IL current (based on Selected RCS) </t>
  </si>
  <si>
    <t>Design Parameter for per phase current</t>
  </si>
  <si>
    <t>Typical Power Per Phase</t>
  </si>
  <si>
    <t>The 12V output power at full designed load and nominal 12V</t>
  </si>
  <si>
    <t>Maximum per phase power based on Rcs selection (Nominal 12V)</t>
  </si>
  <si>
    <t>Maximum total 12V Current based on Rcs selection</t>
  </si>
  <si>
    <t>Total output power based on Rcs selection</t>
  </si>
  <si>
    <t>Peak to Peak ripple Ratio based on full designed load parameter</t>
  </si>
  <si>
    <t>Based on Maximum per phase design parameter</t>
  </si>
  <si>
    <t>Maximmum Peak Current</t>
  </si>
  <si>
    <t xml:space="preserve">Selected Inductor Peak Current Limit </t>
  </si>
  <si>
    <t>Deisred  SS time</t>
  </si>
  <si>
    <t>Maximum IOUTx Voltage (VCS =50mV)</t>
  </si>
  <si>
    <t>Recommened IOUT Resistance (VCS = 50mV)</t>
  </si>
  <si>
    <t>Actual VIOUTx at full load (VCS=50mV)</t>
  </si>
  <si>
    <t>Actual VIOUTx at no-load (VCS = 0mV)</t>
  </si>
  <si>
    <t>Suggested CIOUT</t>
  </si>
  <si>
    <t>Selected CIOUT</t>
  </si>
  <si>
    <t>based to set the RIOUT and CIOUT delay time to 100us</t>
  </si>
  <si>
    <t>Corner Frequency of RIOUT and CIOUT</t>
  </si>
  <si>
    <t>Ripple on VIOUT at full Load</t>
  </si>
  <si>
    <t>0 = MCU input, 1 = Normal Resistor Divider</t>
  </si>
  <si>
    <t>UVLO Hysterisis</t>
  </si>
  <si>
    <t>Dead Time Calculations</t>
  </si>
  <si>
    <t>Dead Time Configuration</t>
  </si>
  <si>
    <t>Adaptive</t>
  </si>
  <si>
    <t>Selected Dead Time Type</t>
  </si>
  <si>
    <t>0=Adaptive, 1 = Programed</t>
  </si>
  <si>
    <t>Programed dead time</t>
  </si>
  <si>
    <t>Dead Time Off Set</t>
  </si>
  <si>
    <t>Cacluated Dead Time Resistor</t>
  </si>
  <si>
    <t>Selected Deatd Time Resistor</t>
  </si>
  <si>
    <t>LO falling to HO Rising Dead Time</t>
  </si>
  <si>
    <t>HO falling to LO Rising Dead Time</t>
  </si>
  <si>
    <t>Dead Time Adaptive LO to HO</t>
  </si>
  <si>
    <t>Dead Time Adaptive HO to LO</t>
  </si>
  <si>
    <t>0 = Nominal Hysteresis, 1 = Programable Hysteresis</t>
  </si>
  <si>
    <t>Increased Hysteresis Selected?</t>
  </si>
  <si>
    <t>Selected Amount of Hysteresis</t>
  </si>
  <si>
    <t>Selected Amount Of Hysteresis</t>
  </si>
  <si>
    <t>Cacluated Rhysteresis Resistor</t>
  </si>
  <si>
    <t>Selected Rhysteresis Value</t>
  </si>
  <si>
    <t>UVLO Power Delivery Voltage Rising Edge</t>
  </si>
  <si>
    <t>UVLO Power Delivery Voltage Falling Edge</t>
  </si>
  <si>
    <t>Flag if not between 15ns and 200ns as specified in the ROC of the Datasheet</t>
  </si>
  <si>
    <t>Dead Time Prog Min Value</t>
  </si>
  <si>
    <t>Dead Time Prog Max Value</t>
  </si>
  <si>
    <t>Path Resistance</t>
  </si>
  <si>
    <t>mΩ</t>
  </si>
  <si>
    <t>Inner Loop Simple Compensation</t>
  </si>
  <si>
    <t>Current Loop Power Plant Pole Location</t>
  </si>
  <si>
    <t>Kff</t>
  </si>
  <si>
    <t>1/V</t>
  </si>
  <si>
    <t>DC Gain of Current Power Plant</t>
  </si>
  <si>
    <t>Suggested Loop Crossover Frequency</t>
  </si>
  <si>
    <t>Selected Crossover Frequency</t>
  </si>
  <si>
    <t>Calculated RCOMP</t>
  </si>
  <si>
    <t>Selected RCOMP</t>
  </si>
  <si>
    <t>Calculated CCOMP</t>
  </si>
  <si>
    <t>Selected CCOMP</t>
  </si>
  <si>
    <t>Calculated CHF</t>
  </si>
  <si>
    <t>Selected CHF</t>
  </si>
  <si>
    <t>Suggested Compensation Zero</t>
  </si>
  <si>
    <t>Compensation Zero Location</t>
  </si>
  <si>
    <t>Compensation Pole Location</t>
  </si>
  <si>
    <t xml:space="preserve">Simple Current Loop Calcualtion </t>
  </si>
  <si>
    <t>Based on Datasheet Caclualtion Method</t>
  </si>
  <si>
    <t>Power Plant Function</t>
  </si>
  <si>
    <t>Complex Impedence</t>
  </si>
  <si>
    <t>Gain</t>
  </si>
  <si>
    <t>Phase</t>
  </si>
  <si>
    <t>Error Amp</t>
  </si>
  <si>
    <t>Closed Current Loop</t>
  </si>
  <si>
    <t>Typical Application Schematic</t>
  </si>
  <si>
    <t>Current Range/ Number of Phases</t>
  </si>
  <si>
    <t>2. Inductor Selection</t>
  </si>
  <si>
    <t>ABOUT</t>
  </si>
  <si>
    <t>Terms of Use</t>
  </si>
  <si>
    <t>Inductor Peak Current Limit</t>
  </si>
  <si>
    <t>Margin above Peak Current</t>
  </si>
  <si>
    <t>4. Output Capacitance</t>
  </si>
  <si>
    <t>Power Stage Pol</t>
  </si>
  <si>
    <t>Error Amp Zero</t>
  </si>
  <si>
    <t>Error Amp Pole</t>
  </si>
  <si>
    <t>RAD</t>
  </si>
  <si>
    <t>Impedance</t>
  </si>
  <si>
    <t>5. Soft-Start</t>
  </si>
  <si>
    <t>COMP1/COMP2</t>
  </si>
  <si>
    <r>
      <t>Selected Low-Side Resistor (R</t>
    </r>
    <r>
      <rPr>
        <vertAlign val="subscript"/>
        <sz val="11"/>
        <color theme="1"/>
        <rFont val="Calibri"/>
        <family val="2"/>
        <scheme val="minor"/>
      </rPr>
      <t>UVLO2</t>
    </r>
    <r>
      <rPr>
        <sz val="11"/>
        <color theme="1"/>
        <rFont val="Calibri"/>
        <family val="2"/>
        <scheme val="minor"/>
      </rPr>
      <t>)</t>
    </r>
  </si>
  <si>
    <r>
      <t>Selected High-Side Resistor (R</t>
    </r>
    <r>
      <rPr>
        <vertAlign val="subscript"/>
        <sz val="11"/>
        <color theme="1"/>
        <rFont val="Calibri"/>
        <family val="2"/>
        <scheme val="minor"/>
      </rPr>
      <t>UVLO1</t>
    </r>
    <r>
      <rPr>
        <sz val="11"/>
        <color theme="1"/>
        <rFont val="Calibri"/>
        <family val="2"/>
        <scheme val="minor"/>
      </rPr>
      <t>)</t>
    </r>
  </si>
  <si>
    <t>Additional</t>
  </si>
  <si>
    <r>
      <t>Calculated Hysteresis Resistor (R</t>
    </r>
    <r>
      <rPr>
        <vertAlign val="subscript"/>
        <sz val="11"/>
        <color theme="1"/>
        <rFont val="Calibri"/>
        <family val="2"/>
        <scheme val="minor"/>
      </rPr>
      <t>UVLO3</t>
    </r>
    <r>
      <rPr>
        <sz val="11"/>
        <color theme="1"/>
        <rFont val="Calibri"/>
        <family val="2"/>
        <scheme val="minor"/>
      </rPr>
      <t>)</t>
    </r>
  </si>
  <si>
    <r>
      <t>Selected Hysteresis Resistor (R</t>
    </r>
    <r>
      <rPr>
        <vertAlign val="subscript"/>
        <sz val="11"/>
        <color theme="1"/>
        <rFont val="Calibri"/>
        <family val="2"/>
        <scheme val="minor"/>
      </rPr>
      <t>UVLO3</t>
    </r>
    <r>
      <rPr>
        <sz val="11"/>
        <color theme="1"/>
        <rFont val="Calibri"/>
        <family val="2"/>
        <scheme val="minor"/>
      </rPr>
      <t>)</t>
    </r>
  </si>
  <si>
    <t>UVLO Hysteresis</t>
  </si>
  <si>
    <t>UVLO Hysteresis Type</t>
  </si>
  <si>
    <t>UVLO Release Voltage Rising Edge</t>
  </si>
  <si>
    <t>Selected UVLO Release Voltage</t>
  </si>
  <si>
    <t>UVLO Latch Voltage Falling Edge</t>
  </si>
  <si>
    <t>High Voltage Input Parameters</t>
  </si>
  <si>
    <t>Selected Switching Frequency</t>
  </si>
  <si>
    <t>LV Port Minimum Voltage</t>
  </si>
  <si>
    <t>LV Port Nominal Voltage</t>
  </si>
  <si>
    <t>LV Port Maximum Voltage</t>
  </si>
  <si>
    <t>HV Port Minimum Voltage</t>
  </si>
  <si>
    <t>HV Port Nominal Voltage</t>
  </si>
  <si>
    <t>HV Port Maximum Voltage</t>
  </si>
  <si>
    <t>Need to Add flags for input voltage range</t>
  </si>
  <si>
    <t>Low Voltage Port</t>
  </si>
  <si>
    <t>High Voltage Port</t>
  </si>
  <si>
    <t>Low Voltage Capacitance ESR</t>
  </si>
  <si>
    <t>High Voltage Capacitance ESR</t>
  </si>
  <si>
    <t>Selected Programmed Dead Time</t>
  </si>
  <si>
    <r>
      <t>Selected Dead Time Resistor (R</t>
    </r>
    <r>
      <rPr>
        <vertAlign val="subscript"/>
        <sz val="11"/>
        <color theme="1"/>
        <rFont val="Calibri"/>
        <family val="2"/>
        <scheme val="minor"/>
      </rPr>
      <t>DT</t>
    </r>
    <r>
      <rPr>
        <sz val="11"/>
        <color theme="1"/>
        <rFont val="Calibri"/>
        <family val="2"/>
        <scheme val="minor"/>
      </rPr>
      <t>)</t>
    </r>
  </si>
  <si>
    <r>
      <t>Compensation Pole Location (F</t>
    </r>
    <r>
      <rPr>
        <vertAlign val="subscript"/>
        <sz val="11"/>
        <color theme="1"/>
        <rFont val="Calibri"/>
        <family val="2"/>
        <scheme val="minor"/>
      </rPr>
      <t>Pcomp</t>
    </r>
    <r>
      <rPr>
        <sz val="11"/>
        <color theme="1"/>
        <rFont val="Calibri"/>
        <family val="2"/>
        <scheme val="minor"/>
      </rPr>
      <t>)</t>
    </r>
  </si>
  <si>
    <t>V48_Min to V12_NOM</t>
  </si>
  <si>
    <t>V12_Min to V48_Nom</t>
  </si>
  <si>
    <t>V12_Nom to V48_Nom</t>
  </si>
  <si>
    <t>V12_Max to V48_Nom</t>
  </si>
  <si>
    <t>V48_Nom to V12_Max (Inductor AVG Current)</t>
  </si>
  <si>
    <t>V48_Nom to V12_Max (Current Sense Voltage)</t>
  </si>
  <si>
    <t>V48_Nom to V12_Min (Inductor AVG Current)</t>
  </si>
  <si>
    <t>V48_Nom to V12_Min (Current Sense Voltage)</t>
  </si>
  <si>
    <t>Duty Cycle</t>
  </si>
  <si>
    <t>DCM Boundary</t>
  </si>
  <si>
    <t>V48 Nom / V12 Min</t>
  </si>
  <si>
    <t>Current Loop</t>
  </si>
  <si>
    <t>Voltage Loop</t>
  </si>
  <si>
    <t>Feedforward Gain</t>
  </si>
  <si>
    <t>Current Sense Gain</t>
  </si>
  <si>
    <t>Constants</t>
  </si>
  <si>
    <t>ISETA to VO</t>
  </si>
  <si>
    <t>Boost Mode Voltage Loop Transfer Functions</t>
  </si>
  <si>
    <t>Voltage Loop Error Amp</t>
  </si>
  <si>
    <t>Current Loop Error Amp</t>
  </si>
  <si>
    <t>Total Loop</t>
  </si>
  <si>
    <t>Boost Mode RHP Zero</t>
  </si>
  <si>
    <t>Boost Mode Low Frequency Pole</t>
  </si>
  <si>
    <t>Selected Boost Mode Crossover Frequnecy</t>
  </si>
  <si>
    <t>Suggest Boost Mode Crossover Frequnecy</t>
  </si>
  <si>
    <t>Type II Compensation Design</t>
  </si>
  <si>
    <t>Simplified system based on assuming that the inductor is an ideal current source</t>
  </si>
  <si>
    <t>Output impedance at full load</t>
  </si>
  <si>
    <t>Boost Crossover Frequency</t>
  </si>
  <si>
    <t>Modulator Gain at Selected Crossover Frequency</t>
  </si>
  <si>
    <t>dB</t>
  </si>
  <si>
    <t>Load Resistance</t>
  </si>
  <si>
    <t>Buck Mode Low Frequency Pole</t>
  </si>
  <si>
    <t>Suggest that the cross over frequency be 1/5 of the RHP Zero</t>
  </si>
  <si>
    <t>Calculated Rcomp</t>
  </si>
  <si>
    <t>Suggested Zero Location</t>
  </si>
  <si>
    <t>Just set this a switching frequency</t>
  </si>
  <si>
    <t>Suggested Pole Location</t>
  </si>
  <si>
    <t>Selected Top Feedback Resistor</t>
  </si>
  <si>
    <t>Selected Bottom Feedback Resistor</t>
  </si>
  <si>
    <t>Selected Rcomp Value</t>
  </si>
  <si>
    <t>Selected Ccomp Value</t>
  </si>
  <si>
    <t>Calculated Ccomp value</t>
  </si>
  <si>
    <t>Calculated Chf Value</t>
  </si>
  <si>
    <t>Selected CHF value</t>
  </si>
  <si>
    <t>F</t>
  </si>
  <si>
    <t>Suggested Crossover Frequency</t>
  </si>
  <si>
    <t>Selected Reference Voltage</t>
  </si>
  <si>
    <t>Calculated Top Feedback Resistor</t>
  </si>
  <si>
    <t>Actual Zero Location</t>
  </si>
  <si>
    <t>Actual Pole Location</t>
  </si>
  <si>
    <t>Assuming that the current loop gain is large enough. Simple equation</t>
  </si>
  <si>
    <t>Buck Mode High Frequency Zero</t>
  </si>
  <si>
    <t>Suggest Buck Mode Crossover Frequnecy</t>
  </si>
  <si>
    <t>Selected Buck Mode Crossover Frequnecy</t>
  </si>
  <si>
    <t>ESR Zero Location</t>
  </si>
  <si>
    <t>Set the Cross over Frequency to 1/10 of the selected current loop crossover frequency</t>
  </si>
  <si>
    <t>Buck Crossover Frequency</t>
  </si>
  <si>
    <t>Current Loop Error Armp</t>
  </si>
  <si>
    <t>ISETA to VOUT Plant</t>
  </si>
  <si>
    <t>Compensator Zero</t>
  </si>
  <si>
    <t>Compensator Pole</t>
  </si>
  <si>
    <t>Plant Low Frequency Pole</t>
  </si>
  <si>
    <t>Compensation Zero</t>
  </si>
  <si>
    <t>Compensation Pole</t>
  </si>
  <si>
    <t xml:space="preserve">Low Frequency Pole </t>
  </si>
  <si>
    <t xml:space="preserve">RHP Zero </t>
  </si>
  <si>
    <t>Buck Mode Type II Compensation</t>
  </si>
  <si>
    <t>Boost Mode Type II Compensation</t>
  </si>
  <si>
    <t>7. Undervoltage Protection</t>
  </si>
  <si>
    <r>
      <t>Calculated High-Side Resistor (R</t>
    </r>
    <r>
      <rPr>
        <vertAlign val="subscript"/>
        <sz val="11"/>
        <color theme="1"/>
        <rFont val="Calibri"/>
        <family val="2"/>
        <scheme val="minor"/>
      </rPr>
      <t>UVLO1</t>
    </r>
    <r>
      <rPr>
        <sz val="11"/>
        <color theme="1"/>
        <rFont val="Calibri"/>
        <family val="2"/>
        <scheme val="minor"/>
      </rPr>
      <t>)</t>
    </r>
  </si>
  <si>
    <r>
      <t>Calculated Dead Time Resistor (R</t>
    </r>
    <r>
      <rPr>
        <vertAlign val="subscript"/>
        <sz val="11"/>
        <color theme="1"/>
        <rFont val="Calibri"/>
        <family val="2"/>
        <scheme val="minor"/>
      </rPr>
      <t>DT</t>
    </r>
    <r>
      <rPr>
        <sz val="11"/>
        <color theme="1"/>
        <rFont val="Calibri"/>
        <family val="2"/>
        <scheme val="minor"/>
      </rPr>
      <t>)</t>
    </r>
  </si>
  <si>
    <t xml:space="preserve">1. Design Parameters </t>
  </si>
  <si>
    <t xml:space="preserve">                              LM5171 Bi-Directional DC/DC Converter Design Tool</t>
  </si>
  <si>
    <t>Km = 1/Vpk = 32/V48</t>
  </si>
  <si>
    <t>Suggested Compensation Pole Location</t>
  </si>
  <si>
    <t>Max ISET voltage for pk limit</t>
  </si>
  <si>
    <t>Feedback Gain</t>
  </si>
  <si>
    <t>Output pole by load effect</t>
  </si>
  <si>
    <t>Power plant gain at Fco</t>
  </si>
  <si>
    <t>Voltage loop DC gain</t>
  </si>
  <si>
    <t>Suggested Rcomp</t>
  </si>
  <si>
    <t>Selected Rcomp</t>
  </si>
  <si>
    <t>Suggested Ccomp</t>
  </si>
  <si>
    <t>Selected Ccomp</t>
  </si>
  <si>
    <t>Suggested Chf</t>
  </si>
  <si>
    <t>Selected Chf</t>
  </si>
  <si>
    <t>pF</t>
  </si>
  <si>
    <r>
      <t>Compensation Zero Location (F</t>
    </r>
    <r>
      <rPr>
        <vertAlign val="subscript"/>
        <sz val="11"/>
        <rFont val="Calibri"/>
        <family val="2"/>
        <scheme val="minor"/>
      </rPr>
      <t>Zcomp</t>
    </r>
    <r>
      <rPr>
        <sz val="11"/>
        <rFont val="Calibri"/>
        <family val="2"/>
        <scheme val="minor"/>
      </rPr>
      <t>)</t>
    </r>
  </si>
  <si>
    <r>
      <t>Compensation Pole Location (F</t>
    </r>
    <r>
      <rPr>
        <vertAlign val="subscript"/>
        <sz val="11"/>
        <rFont val="Calibri"/>
        <family val="2"/>
        <scheme val="minor"/>
      </rPr>
      <t>Pcomp</t>
    </r>
    <r>
      <rPr>
        <sz val="11"/>
        <rFont val="Calibri"/>
        <family val="2"/>
        <scheme val="minor"/>
      </rPr>
      <t>)</t>
    </r>
  </si>
  <si>
    <t>ISET Divider Gain</t>
  </si>
  <si>
    <t>V48 Output Current</t>
  </si>
  <si>
    <t>V48 Output Current Per Phase</t>
  </si>
  <si>
    <r>
      <t>Oscillator Set Resistor (R</t>
    </r>
    <r>
      <rPr>
        <vertAlign val="subscript"/>
        <sz val="11"/>
        <rFont val="Calibri"/>
        <family val="2"/>
        <scheme val="minor"/>
      </rPr>
      <t>OSC</t>
    </r>
    <r>
      <rPr>
        <sz val="11"/>
        <rFont val="Calibri"/>
        <family val="2"/>
        <scheme val="minor"/>
      </rPr>
      <t>)</t>
    </r>
  </si>
  <si>
    <r>
      <t>Calculated Sense Resistor (R</t>
    </r>
    <r>
      <rPr>
        <vertAlign val="subscript"/>
        <sz val="11"/>
        <rFont val="Calibri"/>
        <family val="2"/>
        <scheme val="minor"/>
      </rPr>
      <t>CS1</t>
    </r>
    <r>
      <rPr>
        <sz val="11"/>
        <rFont val="Calibri"/>
        <family val="2"/>
        <scheme val="minor"/>
      </rPr>
      <t>, R</t>
    </r>
    <r>
      <rPr>
        <vertAlign val="subscript"/>
        <sz val="11"/>
        <rFont val="Calibri"/>
        <family val="2"/>
        <scheme val="minor"/>
      </rPr>
      <t>CS2</t>
    </r>
    <r>
      <rPr>
        <sz val="11"/>
        <rFont val="Calibri"/>
        <family val="2"/>
        <scheme val="minor"/>
      </rPr>
      <t>)</t>
    </r>
  </si>
  <si>
    <t>Maximum Average Inductor Current Per Channel</t>
  </si>
  <si>
    <t>Peak-to-Peak Ripple Ratio</t>
  </si>
  <si>
    <t>Note that buck and boost share the same current ripple equation given the same HV and LV, but their worst case is different</t>
  </si>
  <si>
    <t>Worst case (requrie high L) buck mode</t>
  </si>
  <si>
    <t>Worst case (requrie high L) boost mode</t>
  </si>
  <si>
    <t>Calculated worst case inductor</t>
  </si>
  <si>
    <t>Calculated Inductance Value</t>
  </si>
  <si>
    <t>Calculated inductor based on full load  design parameters, Nominal V12 and Maximum V48 Voltages, max V48 gives higher calculated inductance</t>
  </si>
  <si>
    <t>Maximum Ripple Current in buck mode</t>
  </si>
  <si>
    <t>Maximum Ripple Current in boost mode</t>
  </si>
  <si>
    <t>Maximum Peak Current in boost mode</t>
  </si>
  <si>
    <t>Maximum Peak Current in buck mode</t>
  </si>
  <si>
    <t>Just for internal information, max ripple does not mean max peak</t>
  </si>
  <si>
    <t>Ripple Current in boost mode at Vin_min</t>
  </si>
  <si>
    <t>I.e. the inductor current</t>
  </si>
  <si>
    <t>Maximum Inductor Peak Current</t>
  </si>
  <si>
    <t>Current Limit Margin Above Maximum Inductor Current</t>
  </si>
  <si>
    <t>Selected Inductor Peak Current Limit</t>
  </si>
  <si>
    <t>Calculated Inductor Peak Current Limit</t>
  </si>
  <si>
    <t xml:space="preserve">Calculated Inductor Peak Current Limit </t>
  </si>
  <si>
    <t>Calculated Peak Current Limit based on the selected margin</t>
  </si>
  <si>
    <t>Directly selected Peak Current Limit by the user</t>
  </si>
  <si>
    <t>Calculated SS Voltage</t>
  </si>
  <si>
    <r>
      <t>Selected Sense Resistor (R</t>
    </r>
    <r>
      <rPr>
        <vertAlign val="subscript"/>
        <sz val="11"/>
        <rFont val="Calibri"/>
        <family val="2"/>
        <scheme val="minor"/>
      </rPr>
      <t>CS1</t>
    </r>
    <r>
      <rPr>
        <sz val="11"/>
        <rFont val="Calibri"/>
        <family val="2"/>
        <scheme val="minor"/>
      </rPr>
      <t>, R</t>
    </r>
    <r>
      <rPr>
        <vertAlign val="subscript"/>
        <sz val="11"/>
        <rFont val="Calibri"/>
        <family val="2"/>
        <scheme val="minor"/>
      </rPr>
      <t>CS2</t>
    </r>
    <r>
      <rPr>
        <sz val="11"/>
        <rFont val="Calibri"/>
        <family val="2"/>
        <scheme val="minor"/>
      </rPr>
      <t>)</t>
    </r>
  </si>
  <si>
    <r>
      <t>Selected Inductance Value (L</t>
    </r>
    <r>
      <rPr>
        <vertAlign val="subscript"/>
        <sz val="11"/>
        <rFont val="Calibri"/>
        <family val="2"/>
        <scheme val="minor"/>
      </rPr>
      <t>M1</t>
    </r>
    <r>
      <rPr>
        <sz val="11"/>
        <rFont val="Calibri"/>
        <family val="2"/>
        <scheme val="minor"/>
      </rPr>
      <t>,L</t>
    </r>
    <r>
      <rPr>
        <vertAlign val="subscript"/>
        <sz val="11"/>
        <rFont val="Calibri"/>
        <family val="2"/>
        <scheme val="minor"/>
      </rPr>
      <t>M2</t>
    </r>
    <r>
      <rPr>
        <sz val="11"/>
        <rFont val="Calibri"/>
        <family val="2"/>
        <scheme val="minor"/>
      </rPr>
      <t>)</t>
    </r>
  </si>
  <si>
    <r>
      <t>Selected Low Voltage Port Capacitance (C</t>
    </r>
    <r>
      <rPr>
        <vertAlign val="subscript"/>
        <sz val="11"/>
        <rFont val="Calibri"/>
        <family val="2"/>
        <scheme val="minor"/>
      </rPr>
      <t>OUT_LV</t>
    </r>
    <r>
      <rPr>
        <sz val="11"/>
        <rFont val="Calibri"/>
        <family val="2"/>
        <scheme val="minor"/>
      </rPr>
      <t>)</t>
    </r>
  </si>
  <si>
    <r>
      <t>Selected High Voltage Port Capacitance (C</t>
    </r>
    <r>
      <rPr>
        <vertAlign val="subscript"/>
        <sz val="11"/>
        <rFont val="Calibri"/>
        <family val="2"/>
        <scheme val="minor"/>
      </rPr>
      <t>OUT_HV</t>
    </r>
    <r>
      <rPr>
        <sz val="11"/>
        <rFont val="Calibri"/>
        <family val="2"/>
        <scheme val="minor"/>
      </rPr>
      <t>)</t>
    </r>
  </si>
  <si>
    <r>
      <t>Suggested Loop Crossover Frequency (F</t>
    </r>
    <r>
      <rPr>
        <vertAlign val="subscript"/>
        <sz val="11"/>
        <rFont val="Calibri"/>
        <family val="2"/>
        <scheme val="minor"/>
      </rPr>
      <t>CO</t>
    </r>
    <r>
      <rPr>
        <sz val="11"/>
        <rFont val="Calibri"/>
        <family val="2"/>
        <scheme val="minor"/>
      </rPr>
      <t>)</t>
    </r>
  </si>
  <si>
    <r>
      <t>Selected Loop Crossover Frequency (F</t>
    </r>
    <r>
      <rPr>
        <vertAlign val="subscript"/>
        <sz val="11"/>
        <rFont val="Calibri"/>
        <family val="2"/>
        <scheme val="minor"/>
      </rPr>
      <t>CO</t>
    </r>
    <r>
      <rPr>
        <sz val="11"/>
        <rFont val="Calibri"/>
        <family val="2"/>
        <scheme val="minor"/>
      </rPr>
      <t>)</t>
    </r>
  </si>
  <si>
    <r>
      <t>Calculated R</t>
    </r>
    <r>
      <rPr>
        <vertAlign val="subscript"/>
        <sz val="11"/>
        <rFont val="Calibri"/>
        <family val="2"/>
        <scheme val="minor"/>
      </rPr>
      <t>COMP1</t>
    </r>
    <r>
      <rPr>
        <sz val="11"/>
        <rFont val="Calibri"/>
        <family val="2"/>
        <scheme val="minor"/>
      </rPr>
      <t>, R</t>
    </r>
    <r>
      <rPr>
        <vertAlign val="subscript"/>
        <sz val="11"/>
        <rFont val="Calibri"/>
        <family val="2"/>
        <scheme val="minor"/>
      </rPr>
      <t>COMP2</t>
    </r>
  </si>
  <si>
    <r>
      <t>Selected R</t>
    </r>
    <r>
      <rPr>
        <vertAlign val="subscript"/>
        <sz val="11"/>
        <rFont val="Calibri"/>
        <family val="2"/>
        <scheme val="minor"/>
      </rPr>
      <t>COMP1</t>
    </r>
    <r>
      <rPr>
        <sz val="11"/>
        <rFont val="Calibri"/>
        <family val="2"/>
        <scheme val="minor"/>
      </rPr>
      <t>, R</t>
    </r>
    <r>
      <rPr>
        <vertAlign val="subscript"/>
        <sz val="11"/>
        <rFont val="Calibri"/>
        <family val="2"/>
        <scheme val="minor"/>
      </rPr>
      <t>COMP2</t>
    </r>
  </si>
  <si>
    <r>
      <t>Calculated C</t>
    </r>
    <r>
      <rPr>
        <vertAlign val="subscript"/>
        <sz val="11"/>
        <rFont val="Calibri"/>
        <family val="2"/>
        <scheme val="minor"/>
      </rPr>
      <t>COMP1</t>
    </r>
    <r>
      <rPr>
        <sz val="11"/>
        <rFont val="Calibri"/>
        <family val="2"/>
        <scheme val="minor"/>
      </rPr>
      <t>, C</t>
    </r>
    <r>
      <rPr>
        <vertAlign val="subscript"/>
        <sz val="11"/>
        <rFont val="Calibri"/>
        <family val="2"/>
        <scheme val="minor"/>
      </rPr>
      <t>COMP2</t>
    </r>
  </si>
  <si>
    <r>
      <t>Selected C</t>
    </r>
    <r>
      <rPr>
        <vertAlign val="subscript"/>
        <sz val="11"/>
        <rFont val="Calibri"/>
        <family val="2"/>
        <scheme val="minor"/>
      </rPr>
      <t>COMP1</t>
    </r>
    <r>
      <rPr>
        <sz val="11"/>
        <rFont val="Calibri"/>
        <family val="2"/>
        <scheme val="minor"/>
      </rPr>
      <t>, C</t>
    </r>
    <r>
      <rPr>
        <vertAlign val="subscript"/>
        <sz val="11"/>
        <rFont val="Calibri"/>
        <family val="2"/>
        <scheme val="minor"/>
      </rPr>
      <t>COMP2</t>
    </r>
  </si>
  <si>
    <r>
      <t>Calculated C</t>
    </r>
    <r>
      <rPr>
        <vertAlign val="subscript"/>
        <sz val="11"/>
        <rFont val="Calibri"/>
        <family val="2"/>
        <scheme val="minor"/>
      </rPr>
      <t>HF1</t>
    </r>
    <r>
      <rPr>
        <sz val="11"/>
        <rFont val="Calibri"/>
        <family val="2"/>
        <scheme val="minor"/>
      </rPr>
      <t>, C</t>
    </r>
    <r>
      <rPr>
        <vertAlign val="subscript"/>
        <sz val="11"/>
        <rFont val="Calibri"/>
        <family val="2"/>
        <scheme val="minor"/>
      </rPr>
      <t>HF2</t>
    </r>
  </si>
  <si>
    <r>
      <t>Selected C</t>
    </r>
    <r>
      <rPr>
        <vertAlign val="subscript"/>
        <sz val="11"/>
        <rFont val="Calibri"/>
        <family val="2"/>
        <scheme val="minor"/>
      </rPr>
      <t>HF1</t>
    </r>
    <r>
      <rPr>
        <sz val="11"/>
        <rFont val="Calibri"/>
        <family val="2"/>
        <scheme val="minor"/>
      </rPr>
      <t>, C</t>
    </r>
    <r>
      <rPr>
        <vertAlign val="subscript"/>
        <sz val="11"/>
        <rFont val="Calibri"/>
        <family val="2"/>
        <scheme val="minor"/>
      </rPr>
      <t>HF2</t>
    </r>
  </si>
  <si>
    <r>
      <t>Calculated R</t>
    </r>
    <r>
      <rPr>
        <vertAlign val="subscript"/>
        <sz val="11"/>
        <rFont val="Calibri"/>
        <family val="2"/>
        <scheme val="minor"/>
      </rPr>
      <t>COMP Buck</t>
    </r>
  </si>
  <si>
    <r>
      <t>Selected R</t>
    </r>
    <r>
      <rPr>
        <vertAlign val="subscript"/>
        <sz val="11"/>
        <rFont val="Calibri"/>
        <family val="2"/>
        <scheme val="minor"/>
      </rPr>
      <t>COMP Buck</t>
    </r>
  </si>
  <si>
    <r>
      <t>Calculated C</t>
    </r>
    <r>
      <rPr>
        <vertAlign val="subscript"/>
        <sz val="11"/>
        <rFont val="Calibri"/>
        <family val="2"/>
        <scheme val="minor"/>
      </rPr>
      <t>COMP Buck</t>
    </r>
  </si>
  <si>
    <r>
      <t>Selected C</t>
    </r>
    <r>
      <rPr>
        <vertAlign val="subscript"/>
        <sz val="11"/>
        <rFont val="Calibri"/>
        <family val="2"/>
        <scheme val="minor"/>
      </rPr>
      <t>COMP Buck</t>
    </r>
  </si>
  <si>
    <r>
      <t>Calculated C</t>
    </r>
    <r>
      <rPr>
        <vertAlign val="subscript"/>
        <sz val="11"/>
        <rFont val="Calibri"/>
        <family val="2"/>
        <scheme val="minor"/>
      </rPr>
      <t>HF Buck</t>
    </r>
  </si>
  <si>
    <r>
      <t>Selected C</t>
    </r>
    <r>
      <rPr>
        <vertAlign val="subscript"/>
        <sz val="11"/>
        <rFont val="Calibri"/>
        <family val="2"/>
        <scheme val="minor"/>
      </rPr>
      <t>HF Buck</t>
    </r>
  </si>
  <si>
    <r>
      <t>Calculated R</t>
    </r>
    <r>
      <rPr>
        <vertAlign val="subscript"/>
        <sz val="11"/>
        <rFont val="Calibri"/>
        <family val="2"/>
        <scheme val="minor"/>
      </rPr>
      <t>COMP Boost</t>
    </r>
  </si>
  <si>
    <r>
      <t>Selected R</t>
    </r>
    <r>
      <rPr>
        <vertAlign val="subscript"/>
        <sz val="11"/>
        <rFont val="Calibri"/>
        <family val="2"/>
        <scheme val="minor"/>
      </rPr>
      <t>COMP Boost</t>
    </r>
  </si>
  <si>
    <r>
      <t>Calculated C</t>
    </r>
    <r>
      <rPr>
        <vertAlign val="subscript"/>
        <sz val="11"/>
        <rFont val="Calibri"/>
        <family val="2"/>
        <scheme val="minor"/>
      </rPr>
      <t>COMP Boost</t>
    </r>
  </si>
  <si>
    <r>
      <t>Selected C</t>
    </r>
    <r>
      <rPr>
        <vertAlign val="subscript"/>
        <sz val="11"/>
        <rFont val="Calibri"/>
        <family val="2"/>
        <scheme val="minor"/>
      </rPr>
      <t>COMP Boost</t>
    </r>
  </si>
  <si>
    <r>
      <t>Calculated C</t>
    </r>
    <r>
      <rPr>
        <vertAlign val="subscript"/>
        <sz val="11"/>
        <rFont val="Calibri"/>
        <family val="2"/>
        <scheme val="minor"/>
      </rPr>
      <t>HF Boost</t>
    </r>
  </si>
  <si>
    <r>
      <t>Selected C</t>
    </r>
    <r>
      <rPr>
        <vertAlign val="subscript"/>
        <sz val="11"/>
        <rFont val="Calibri"/>
        <family val="2"/>
        <scheme val="minor"/>
      </rPr>
      <t>HF Boost</t>
    </r>
  </si>
  <si>
    <r>
      <t xml:space="preserve">Buck Mode Loop Compensation </t>
    </r>
    <r>
      <rPr>
        <b/>
        <sz val="11"/>
        <rFont val="Calibri"/>
        <family val="2"/>
        <scheme val="minor"/>
      </rPr>
      <t>Simple Method</t>
    </r>
  </si>
  <si>
    <t xml:space="preserve">Buck Mode Loop Compensation (LM5170 method) </t>
  </si>
  <si>
    <t>Boost Mode Voltage Loop Compensation (LM5170 method)</t>
  </si>
  <si>
    <r>
      <t xml:space="preserve">BoostMode Loop Compensation </t>
    </r>
    <r>
      <rPr>
        <b/>
        <sz val="11"/>
        <rFont val="Calibri"/>
        <family val="2"/>
        <scheme val="minor"/>
      </rPr>
      <t>Simple Method</t>
    </r>
  </si>
  <si>
    <t>Version Number</t>
  </si>
  <si>
    <t>1.0.0</t>
  </si>
  <si>
    <t>Version History</t>
  </si>
  <si>
    <t>Version</t>
  </si>
  <si>
    <t>Change List Description</t>
  </si>
  <si>
    <t>Initial Release</t>
  </si>
  <si>
    <t>Normal UVLO</t>
  </si>
  <si>
    <t>Additional Hysteresis</t>
  </si>
  <si>
    <t>Microcontroller Input</t>
  </si>
  <si>
    <t>IMON1/ IMON2</t>
  </si>
  <si>
    <t>Flag if &gt;3V</t>
  </si>
  <si>
    <r>
      <t>Calculated IMON Resistor (R</t>
    </r>
    <r>
      <rPr>
        <vertAlign val="subscript"/>
        <sz val="11"/>
        <color theme="1"/>
        <rFont val="Calibri"/>
        <family val="2"/>
        <scheme val="minor"/>
      </rPr>
      <t>IMON1</t>
    </r>
    <r>
      <rPr>
        <sz val="11"/>
        <color theme="1"/>
        <rFont val="Calibri"/>
        <family val="2"/>
        <scheme val="minor"/>
      </rPr>
      <t>, R</t>
    </r>
    <r>
      <rPr>
        <vertAlign val="subscript"/>
        <sz val="11"/>
        <color theme="1"/>
        <rFont val="Calibri"/>
        <family val="2"/>
        <scheme val="minor"/>
      </rPr>
      <t>IMON2</t>
    </r>
    <r>
      <rPr>
        <sz val="11"/>
        <color theme="1"/>
        <rFont val="Calibri"/>
        <family val="2"/>
        <scheme val="minor"/>
      </rPr>
      <t>)</t>
    </r>
  </si>
  <si>
    <r>
      <t>Selected IMON Resistor (R</t>
    </r>
    <r>
      <rPr>
        <vertAlign val="subscript"/>
        <sz val="11"/>
        <color theme="1"/>
        <rFont val="Calibri"/>
        <family val="2"/>
        <scheme val="minor"/>
      </rPr>
      <t>IMON1</t>
    </r>
    <r>
      <rPr>
        <sz val="11"/>
        <color theme="1"/>
        <rFont val="Calibri"/>
        <family val="2"/>
        <scheme val="minor"/>
      </rPr>
      <t>, R</t>
    </r>
    <r>
      <rPr>
        <vertAlign val="subscript"/>
        <sz val="11"/>
        <color theme="1"/>
        <rFont val="Calibri"/>
        <family val="2"/>
        <scheme val="minor"/>
      </rPr>
      <t>IMON2</t>
    </r>
    <r>
      <rPr>
        <sz val="11"/>
        <color theme="1"/>
        <rFont val="Calibri"/>
        <family val="2"/>
        <scheme val="minor"/>
      </rPr>
      <t>)</t>
    </r>
  </si>
  <si>
    <r>
      <t>V</t>
    </r>
    <r>
      <rPr>
        <vertAlign val="subscript"/>
        <sz val="11"/>
        <color theme="1"/>
        <rFont val="Calibri"/>
        <family val="2"/>
        <scheme val="minor"/>
      </rPr>
      <t>IMON</t>
    </r>
    <r>
      <rPr>
        <sz val="11"/>
        <color theme="1"/>
        <rFont val="Calibri"/>
        <family val="2"/>
        <scheme val="minor"/>
      </rPr>
      <t xml:space="preserve"> at Full Load (V</t>
    </r>
    <r>
      <rPr>
        <vertAlign val="subscript"/>
        <sz val="11"/>
        <color theme="1"/>
        <rFont val="Calibri"/>
        <family val="2"/>
        <scheme val="minor"/>
      </rPr>
      <t>RCS</t>
    </r>
    <r>
      <rPr>
        <sz val="11"/>
        <color theme="1"/>
        <rFont val="Calibri"/>
        <family val="2"/>
        <scheme val="minor"/>
      </rPr>
      <t xml:space="preserve"> = 50mV)</t>
    </r>
  </si>
  <si>
    <r>
      <t>V</t>
    </r>
    <r>
      <rPr>
        <vertAlign val="subscript"/>
        <sz val="11"/>
        <color theme="1"/>
        <rFont val="Calibri"/>
        <family val="2"/>
        <scheme val="minor"/>
      </rPr>
      <t>IMON</t>
    </r>
    <r>
      <rPr>
        <sz val="11"/>
        <color theme="1"/>
        <rFont val="Calibri"/>
        <family val="2"/>
        <scheme val="minor"/>
      </rPr>
      <t xml:space="preserve"> at No Load (V</t>
    </r>
    <r>
      <rPr>
        <vertAlign val="subscript"/>
        <sz val="11"/>
        <color theme="1"/>
        <rFont val="Calibri"/>
        <family val="2"/>
        <scheme val="minor"/>
      </rPr>
      <t>RCS</t>
    </r>
    <r>
      <rPr>
        <sz val="11"/>
        <color theme="1"/>
        <rFont val="Calibri"/>
        <family val="2"/>
        <scheme val="minor"/>
      </rPr>
      <t xml:space="preserve"> = 0mV)</t>
    </r>
  </si>
  <si>
    <r>
      <t>Calculated IMON Capacitance (C</t>
    </r>
    <r>
      <rPr>
        <vertAlign val="subscript"/>
        <sz val="11"/>
        <color theme="1"/>
        <rFont val="Calibri"/>
        <family val="2"/>
        <scheme val="minor"/>
      </rPr>
      <t>IMON1</t>
    </r>
    <r>
      <rPr>
        <sz val="11"/>
        <color theme="1"/>
        <rFont val="Calibri"/>
        <family val="2"/>
        <scheme val="minor"/>
      </rPr>
      <t>, C</t>
    </r>
    <r>
      <rPr>
        <vertAlign val="subscript"/>
        <sz val="11"/>
        <color theme="1"/>
        <rFont val="Calibri"/>
        <family val="2"/>
        <scheme val="minor"/>
      </rPr>
      <t>IMON2</t>
    </r>
    <r>
      <rPr>
        <sz val="11"/>
        <color theme="1"/>
        <rFont val="Calibri"/>
        <family val="2"/>
        <scheme val="minor"/>
      </rPr>
      <t>)</t>
    </r>
  </si>
  <si>
    <r>
      <t>Selected IMON Capacitance (C</t>
    </r>
    <r>
      <rPr>
        <vertAlign val="subscript"/>
        <sz val="11"/>
        <color theme="1"/>
        <rFont val="Calibri"/>
        <family val="2"/>
        <scheme val="minor"/>
      </rPr>
      <t>IMON1</t>
    </r>
    <r>
      <rPr>
        <sz val="11"/>
        <color theme="1"/>
        <rFont val="Calibri"/>
        <family val="2"/>
        <scheme val="minor"/>
      </rPr>
      <t>, C</t>
    </r>
    <r>
      <rPr>
        <vertAlign val="subscript"/>
        <sz val="11"/>
        <color theme="1"/>
        <rFont val="Calibri"/>
        <family val="2"/>
        <scheme val="minor"/>
      </rPr>
      <t>IMON2</t>
    </r>
    <r>
      <rPr>
        <sz val="11"/>
        <color theme="1"/>
        <rFont val="Calibri"/>
        <family val="2"/>
        <scheme val="minor"/>
      </rPr>
      <t>)</t>
    </r>
  </si>
  <si>
    <r>
      <t>Delta V</t>
    </r>
    <r>
      <rPr>
        <vertAlign val="subscript"/>
        <sz val="11"/>
        <color theme="1"/>
        <rFont val="Calibri"/>
        <family val="2"/>
        <scheme val="minor"/>
      </rPr>
      <t xml:space="preserve">IMON </t>
    </r>
    <r>
      <rPr>
        <sz val="11"/>
        <color theme="1"/>
        <rFont val="Calibri"/>
        <family val="2"/>
        <scheme val="minor"/>
      </rPr>
      <t>at Full Load</t>
    </r>
  </si>
  <si>
    <r>
      <t>R</t>
    </r>
    <r>
      <rPr>
        <vertAlign val="subscript"/>
        <sz val="11"/>
        <color theme="1"/>
        <rFont val="Calibri"/>
        <family val="2"/>
        <scheme val="minor"/>
      </rPr>
      <t>IMON</t>
    </r>
    <r>
      <rPr>
        <sz val="11"/>
        <color theme="1"/>
        <rFont val="Calibri"/>
        <family val="2"/>
        <scheme val="minor"/>
      </rPr>
      <t xml:space="preserve"> C</t>
    </r>
    <r>
      <rPr>
        <vertAlign val="subscript"/>
        <sz val="11"/>
        <color theme="1"/>
        <rFont val="Calibri"/>
        <family val="2"/>
        <scheme val="minor"/>
      </rPr>
      <t>IMON</t>
    </r>
    <r>
      <rPr>
        <sz val="11"/>
        <color theme="1"/>
        <rFont val="Calibri"/>
        <family val="2"/>
        <scheme val="minor"/>
      </rPr>
      <t xml:space="preserve"> Corner Frequency</t>
    </r>
  </si>
  <si>
    <t>Adaptive Dead Time</t>
  </si>
  <si>
    <t>Programmed Dead Time</t>
  </si>
  <si>
    <t>A/V</t>
  </si>
  <si>
    <t xml:space="preserve">V12 Input Current Per Phase (Boost) </t>
  </si>
  <si>
    <t>Place zero at 0.2 fco</t>
  </si>
  <si>
    <t>fco</t>
  </si>
  <si>
    <t>Place pole at 3 fco</t>
  </si>
  <si>
    <t>Calucated Voltage at IPK Pin</t>
  </si>
  <si>
    <t>Select reference voltage for IPK Pin</t>
  </si>
  <si>
    <t>Suggested RIPKB</t>
  </si>
  <si>
    <t>Suggested RIPKT</t>
  </si>
  <si>
    <t>Selected RIPKB</t>
  </si>
  <si>
    <t>Selected RIPKT</t>
  </si>
  <si>
    <t>Actual VIPK</t>
  </si>
  <si>
    <t xml:space="preserve">Actual Inductor Peak Current Limit </t>
  </si>
  <si>
    <t>3. Inductor Peak Current Limiting</t>
  </si>
  <si>
    <r>
      <t>R</t>
    </r>
    <r>
      <rPr>
        <b/>
        <vertAlign val="subscript"/>
        <sz val="11"/>
        <color theme="1"/>
        <rFont val="Calibri"/>
        <family val="2"/>
        <scheme val="minor"/>
      </rPr>
      <t>ISETB</t>
    </r>
    <r>
      <rPr>
        <b/>
        <sz val="11"/>
        <color theme="1"/>
        <rFont val="Calibri"/>
        <family val="2"/>
        <scheme val="minor"/>
      </rPr>
      <t>/R</t>
    </r>
    <r>
      <rPr>
        <b/>
        <vertAlign val="subscript"/>
        <sz val="11"/>
        <color theme="1"/>
        <rFont val="Calibri"/>
        <family val="2"/>
        <scheme val="minor"/>
      </rPr>
      <t>ISETT</t>
    </r>
  </si>
  <si>
    <t>Output Voltage Soft Start</t>
  </si>
  <si>
    <t>Selected Output Voltage Soft-Start Time</t>
  </si>
  <si>
    <t>Current Soft Start</t>
  </si>
  <si>
    <r>
      <t>Selected Reference Voltage (V</t>
    </r>
    <r>
      <rPr>
        <vertAlign val="subscript"/>
        <sz val="11"/>
        <rFont val="Calibri"/>
        <family val="2"/>
        <scheme val="minor"/>
      </rPr>
      <t>VSET</t>
    </r>
    <r>
      <rPr>
        <sz val="11"/>
        <rFont val="Calibri"/>
        <family val="2"/>
        <scheme val="minor"/>
      </rPr>
      <t>)</t>
    </r>
  </si>
  <si>
    <r>
      <t>Selected R</t>
    </r>
    <r>
      <rPr>
        <vertAlign val="subscript"/>
        <sz val="11"/>
        <color theme="1"/>
        <rFont val="Calibri"/>
        <family val="2"/>
        <scheme val="minor"/>
      </rPr>
      <t>VSETT</t>
    </r>
  </si>
  <si>
    <r>
      <t>Suggested R</t>
    </r>
    <r>
      <rPr>
        <vertAlign val="subscript"/>
        <sz val="11"/>
        <color theme="1"/>
        <rFont val="Calibri"/>
        <family val="2"/>
        <scheme val="minor"/>
      </rPr>
      <t>VSETB</t>
    </r>
  </si>
  <si>
    <r>
      <t>Selected R</t>
    </r>
    <r>
      <rPr>
        <vertAlign val="subscript"/>
        <sz val="11"/>
        <color theme="1"/>
        <rFont val="Calibri"/>
        <family val="2"/>
        <scheme val="minor"/>
      </rPr>
      <t>VSETB</t>
    </r>
  </si>
  <si>
    <r>
      <t>Suggested R</t>
    </r>
    <r>
      <rPr>
        <vertAlign val="subscript"/>
        <sz val="11"/>
        <color theme="1"/>
        <rFont val="Calibri"/>
        <family val="2"/>
        <scheme val="minor"/>
      </rPr>
      <t>VSETT</t>
    </r>
  </si>
  <si>
    <r>
      <t>Suggested C</t>
    </r>
    <r>
      <rPr>
        <vertAlign val="subscript"/>
        <sz val="11"/>
        <color theme="1"/>
        <rFont val="Calibri"/>
        <family val="2"/>
        <scheme val="minor"/>
      </rPr>
      <t>VSET</t>
    </r>
  </si>
  <si>
    <r>
      <t>Selected C</t>
    </r>
    <r>
      <rPr>
        <vertAlign val="subscript"/>
        <sz val="11"/>
        <color theme="1"/>
        <rFont val="Calibri"/>
        <family val="2"/>
        <scheme val="minor"/>
      </rPr>
      <t>VSET</t>
    </r>
  </si>
  <si>
    <t>Soft start time</t>
  </si>
  <si>
    <t>Select reference voltage for VSET Pin</t>
  </si>
  <si>
    <r>
      <t>Selected Soft-Start Capacitor (C</t>
    </r>
    <r>
      <rPr>
        <vertAlign val="subscript"/>
        <sz val="11"/>
        <color theme="1"/>
        <rFont val="Calibri"/>
        <family val="2"/>
        <scheme val="minor"/>
      </rPr>
      <t>SS1</t>
    </r>
    <r>
      <rPr>
        <sz val="11"/>
        <color theme="1"/>
        <rFont val="Calibri"/>
        <family val="2"/>
        <scheme val="minor"/>
      </rPr>
      <t>, C</t>
    </r>
    <r>
      <rPr>
        <vertAlign val="subscript"/>
        <sz val="11"/>
        <color theme="1"/>
        <rFont val="Calibri"/>
        <family val="2"/>
        <scheme val="minor"/>
      </rPr>
      <t>SS2</t>
    </r>
    <r>
      <rPr>
        <sz val="11"/>
        <color theme="1"/>
        <rFont val="Calibri"/>
        <family val="2"/>
        <scheme val="minor"/>
      </rPr>
      <t>)</t>
    </r>
  </si>
  <si>
    <t>CC</t>
  </si>
  <si>
    <t>CV</t>
  </si>
  <si>
    <t>CC or CV?</t>
  </si>
  <si>
    <t>0 = CV, 1 = CC</t>
  </si>
  <si>
    <r>
      <t>Suggested Soft-Start Capacitor (C</t>
    </r>
    <r>
      <rPr>
        <vertAlign val="subscript"/>
        <sz val="11"/>
        <color theme="1"/>
        <rFont val="Calibri"/>
        <family val="2"/>
        <scheme val="minor"/>
      </rPr>
      <t>SS1</t>
    </r>
    <r>
      <rPr>
        <sz val="11"/>
        <color theme="1"/>
        <rFont val="Calibri"/>
        <family val="2"/>
        <scheme val="minor"/>
      </rPr>
      <t>, C</t>
    </r>
    <r>
      <rPr>
        <vertAlign val="subscript"/>
        <sz val="11"/>
        <color theme="1"/>
        <rFont val="Calibri"/>
        <family val="2"/>
        <scheme val="minor"/>
      </rPr>
      <t>SS2</t>
    </r>
    <r>
      <rPr>
        <sz val="11"/>
        <color theme="1"/>
        <rFont val="Calibri"/>
        <family val="2"/>
        <scheme val="minor"/>
      </rPr>
      <t>)</t>
    </r>
  </si>
  <si>
    <t>Constant Voltage(CV) or Constant Current(CC) control</t>
  </si>
  <si>
    <t>Internal VREF</t>
  </si>
  <si>
    <t>DT/SD</t>
  </si>
  <si>
    <t>Normal</t>
  </si>
  <si>
    <t>OVP Caculations</t>
  </si>
  <si>
    <t>Suggested ROVPB</t>
  </si>
  <si>
    <t>Selected ROVPB</t>
  </si>
  <si>
    <t>Suggested ROVPT</t>
  </si>
  <si>
    <t>Selected ROVPT</t>
  </si>
  <si>
    <t>Deisred OVP voltage</t>
  </si>
  <si>
    <t>Actual OVP voltage</t>
  </si>
  <si>
    <t>OVP Threshold</t>
  </si>
  <si>
    <t>8. Overvoltage Protection</t>
  </si>
  <si>
    <t>OVP</t>
  </si>
  <si>
    <t>CFG</t>
  </si>
  <si>
    <t>0.649 or 0.665</t>
  </si>
  <si>
    <t>1.10 or 1.13</t>
  </si>
  <si>
    <t>1.65 or 1.69</t>
  </si>
  <si>
    <t>2.43 or 2.49</t>
  </si>
  <si>
    <t>3.32 or 3.40</t>
  </si>
  <si>
    <t>4.53 or 4.64</t>
  </si>
  <si>
    <t>6.65 or 6.81</t>
  </si>
  <si>
    <t>10.2 or 10.5</t>
  </si>
  <si>
    <t>18.7 or 19.1</t>
  </si>
  <si>
    <t>26.1 or 26.7</t>
  </si>
  <si>
    <t>37.4 or 38.3</t>
  </si>
  <si>
    <t>60.4 or 61.9</t>
  </si>
  <si>
    <t>95.3 or 97.6</t>
  </si>
  <si>
    <t>13.7 or 14.0</t>
  </si>
  <si>
    <t>0.316 or 0.324</t>
  </si>
  <si>
    <t>&lt;0.1</t>
  </si>
  <si>
    <t>I2C Adress</t>
  </si>
  <si>
    <t>IMON</t>
  </si>
  <si>
    <t>OPT</t>
  </si>
  <si>
    <t>180°</t>
  </si>
  <si>
    <t>240°</t>
  </si>
  <si>
    <t>9. Channel Current Monitoring</t>
  </si>
  <si>
    <t>10. MOSFET Dead Time Selection</t>
  </si>
  <si>
    <t>11. CFG Resistor Selection and OPT</t>
  </si>
  <si>
    <t>12. Current Loop Compensation</t>
  </si>
  <si>
    <r>
      <t>13. Select R</t>
    </r>
    <r>
      <rPr>
        <b/>
        <vertAlign val="subscript"/>
        <sz val="14"/>
        <color rgb="FF0070C0"/>
        <rFont val="Calibri"/>
        <family val="2"/>
        <scheme val="minor"/>
      </rPr>
      <t xml:space="preserve">ISETB </t>
    </r>
    <r>
      <rPr>
        <b/>
        <sz val="14"/>
        <color rgb="FF0070C0"/>
        <rFont val="Calibri"/>
        <family val="2"/>
        <scheme val="minor"/>
      </rPr>
      <t>and R</t>
    </r>
    <r>
      <rPr>
        <b/>
        <vertAlign val="subscript"/>
        <sz val="14"/>
        <color rgb="FF0070C0"/>
        <rFont val="Calibri"/>
        <family val="2"/>
        <scheme val="minor"/>
      </rPr>
      <t>ISETT</t>
    </r>
    <r>
      <rPr>
        <b/>
        <sz val="14"/>
        <color rgb="FF0070C0"/>
        <rFont val="Calibri"/>
        <family val="2"/>
        <scheme val="minor"/>
      </rPr>
      <t xml:space="preserve"> (Shared by Buck and Boost)</t>
    </r>
  </si>
  <si>
    <t>14. Buck Mode Voltage Loop Compensation</t>
  </si>
  <si>
    <t>15. Boost Mode Voltage Loop Compensation</t>
  </si>
  <si>
    <t>Set OPT to</t>
  </si>
  <si>
    <r>
      <t>Selected VSET Voltage (V</t>
    </r>
    <r>
      <rPr>
        <vertAlign val="subscript"/>
        <sz val="11"/>
        <rFont val="Calibri"/>
        <family val="2"/>
        <scheme val="minor"/>
      </rPr>
      <t>VSET</t>
    </r>
    <r>
      <rPr>
        <sz val="11"/>
        <rFont val="Calibri"/>
        <family val="2"/>
        <scheme val="minor"/>
      </rPr>
      <t>)</t>
    </r>
  </si>
  <si>
    <r>
      <t>Actual VSET voltage with selected  R</t>
    </r>
    <r>
      <rPr>
        <vertAlign val="subscript"/>
        <sz val="11"/>
        <color theme="1"/>
        <rFont val="Calibri"/>
        <family val="2"/>
        <scheme val="minor"/>
      </rPr>
      <t>IPKB</t>
    </r>
    <r>
      <rPr>
        <sz val="11"/>
        <color theme="1"/>
        <rFont val="Calibri"/>
        <family val="2"/>
        <scheme val="minor"/>
      </rPr>
      <t xml:space="preserve"> and R</t>
    </r>
    <r>
      <rPr>
        <vertAlign val="subscript"/>
        <sz val="11"/>
        <color theme="1"/>
        <rFont val="Calibri"/>
        <family val="2"/>
        <scheme val="minor"/>
      </rPr>
      <t>IPKT</t>
    </r>
  </si>
  <si>
    <r>
      <t>Calucated IPK Voltage (V</t>
    </r>
    <r>
      <rPr>
        <vertAlign val="subscript"/>
        <sz val="11"/>
        <rFont val="Calibri"/>
        <family val="2"/>
        <scheme val="minor"/>
      </rPr>
      <t>IPK</t>
    </r>
    <r>
      <rPr>
        <sz val="11"/>
        <rFont val="Calibri"/>
        <family val="2"/>
        <scheme val="minor"/>
      </rPr>
      <t>)</t>
    </r>
  </si>
  <si>
    <r>
      <t>Suggested  Low-Side Resistor (R</t>
    </r>
    <r>
      <rPr>
        <vertAlign val="subscript"/>
        <sz val="11"/>
        <color theme="1"/>
        <rFont val="Calibri"/>
        <family val="2"/>
        <scheme val="minor"/>
      </rPr>
      <t>IPKB</t>
    </r>
    <r>
      <rPr>
        <sz val="11"/>
        <color theme="1"/>
        <rFont val="Calibri"/>
        <family val="2"/>
        <scheme val="minor"/>
      </rPr>
      <t>)</t>
    </r>
  </si>
  <si>
    <r>
      <t>Selected Low-Side Resistor (R</t>
    </r>
    <r>
      <rPr>
        <vertAlign val="subscript"/>
        <sz val="11"/>
        <color theme="1"/>
        <rFont val="Calibri"/>
        <family val="2"/>
        <scheme val="minor"/>
      </rPr>
      <t>IPKB</t>
    </r>
    <r>
      <rPr>
        <sz val="11"/>
        <color theme="1"/>
        <rFont val="Calibri"/>
        <family val="2"/>
        <scheme val="minor"/>
      </rPr>
      <t>)</t>
    </r>
  </si>
  <si>
    <r>
      <t>Suggested High-Side Resistor (R</t>
    </r>
    <r>
      <rPr>
        <vertAlign val="subscript"/>
        <sz val="11"/>
        <color theme="1"/>
        <rFont val="Calibri"/>
        <family val="2"/>
        <scheme val="minor"/>
      </rPr>
      <t>IPKT</t>
    </r>
    <r>
      <rPr>
        <sz val="11"/>
        <color theme="1"/>
        <rFont val="Calibri"/>
        <family val="2"/>
        <scheme val="minor"/>
      </rPr>
      <t>)</t>
    </r>
  </si>
  <si>
    <r>
      <t>Selected High-Side Resistor (R</t>
    </r>
    <r>
      <rPr>
        <vertAlign val="subscript"/>
        <sz val="11"/>
        <color theme="1"/>
        <rFont val="Calibri"/>
        <family val="2"/>
        <scheme val="minor"/>
      </rPr>
      <t>IPKT</t>
    </r>
    <r>
      <rPr>
        <sz val="11"/>
        <color theme="1"/>
        <rFont val="Calibri"/>
        <family val="2"/>
        <scheme val="minor"/>
      </rPr>
      <t>)</t>
    </r>
  </si>
  <si>
    <r>
      <t>Suggested Low-Side Resistor (R</t>
    </r>
    <r>
      <rPr>
        <vertAlign val="subscript"/>
        <sz val="11"/>
        <color theme="1"/>
        <rFont val="Calibri"/>
        <family val="2"/>
        <scheme val="minor"/>
      </rPr>
      <t>VSETB</t>
    </r>
    <r>
      <rPr>
        <sz val="11"/>
        <color theme="1"/>
        <rFont val="Calibri"/>
        <family val="2"/>
        <scheme val="minor"/>
      </rPr>
      <t>)</t>
    </r>
  </si>
  <si>
    <r>
      <t>Selected Low-Side Resistor  (R</t>
    </r>
    <r>
      <rPr>
        <vertAlign val="subscript"/>
        <sz val="11"/>
        <color theme="1"/>
        <rFont val="Calibri"/>
        <family val="2"/>
        <scheme val="minor"/>
      </rPr>
      <t>VSETB</t>
    </r>
    <r>
      <rPr>
        <sz val="11"/>
        <color theme="1"/>
        <rFont val="Calibri"/>
        <family val="2"/>
        <scheme val="minor"/>
      </rPr>
      <t>)</t>
    </r>
  </si>
  <si>
    <r>
      <t>Selected High-Side Resistor  (R</t>
    </r>
    <r>
      <rPr>
        <vertAlign val="subscript"/>
        <sz val="11"/>
        <color theme="1"/>
        <rFont val="Calibri"/>
        <family val="2"/>
        <scheme val="minor"/>
      </rPr>
      <t>VSETT</t>
    </r>
    <r>
      <rPr>
        <sz val="11"/>
        <color theme="1"/>
        <rFont val="Calibri"/>
        <family val="2"/>
        <scheme val="minor"/>
      </rPr>
      <t>)</t>
    </r>
  </si>
  <si>
    <r>
      <t>Suggested High-Side Resistor  (R</t>
    </r>
    <r>
      <rPr>
        <vertAlign val="subscript"/>
        <sz val="11"/>
        <color theme="1"/>
        <rFont val="Calibri"/>
        <family val="2"/>
        <scheme val="minor"/>
      </rPr>
      <t>VSETT</t>
    </r>
    <r>
      <rPr>
        <sz val="11"/>
        <color theme="1"/>
        <rFont val="Calibri"/>
        <family val="2"/>
        <scheme val="minor"/>
      </rPr>
      <t>)</t>
    </r>
  </si>
  <si>
    <r>
      <t>Suggested Output Voltage Soft-Start Capacitor (C</t>
    </r>
    <r>
      <rPr>
        <vertAlign val="subscript"/>
        <sz val="11"/>
        <color theme="1"/>
        <rFont val="Calibri"/>
        <family val="2"/>
        <scheme val="minor"/>
      </rPr>
      <t>VSET</t>
    </r>
    <r>
      <rPr>
        <sz val="11"/>
        <color theme="1"/>
        <rFont val="Calibri"/>
        <family val="2"/>
        <scheme val="minor"/>
      </rPr>
      <t>)</t>
    </r>
  </si>
  <si>
    <r>
      <t>Selected Output Voltage Soft-Start (C</t>
    </r>
    <r>
      <rPr>
        <vertAlign val="subscript"/>
        <sz val="11"/>
        <color theme="1"/>
        <rFont val="Calibri"/>
        <family val="2"/>
        <scheme val="minor"/>
      </rPr>
      <t>VSET</t>
    </r>
    <r>
      <rPr>
        <sz val="11"/>
        <color theme="1"/>
        <rFont val="Calibri"/>
        <family val="2"/>
        <scheme val="minor"/>
      </rPr>
      <t>)</t>
    </r>
  </si>
  <si>
    <t>Selected Current Soft-Start Time</t>
  </si>
  <si>
    <t>Actual Current Soft-Start Time</t>
  </si>
  <si>
    <r>
      <t>Actual VSET Voltage with Selected  R</t>
    </r>
    <r>
      <rPr>
        <vertAlign val="subscript"/>
        <sz val="11"/>
        <color theme="1"/>
        <rFont val="Calibri"/>
        <family val="2"/>
        <scheme val="minor"/>
      </rPr>
      <t>IPKB</t>
    </r>
    <r>
      <rPr>
        <sz val="11"/>
        <color theme="1"/>
        <rFont val="Calibri"/>
        <family val="2"/>
        <scheme val="minor"/>
      </rPr>
      <t xml:space="preserve"> and R</t>
    </r>
    <r>
      <rPr>
        <vertAlign val="subscript"/>
        <sz val="11"/>
        <color theme="1"/>
        <rFont val="Calibri"/>
        <family val="2"/>
        <scheme val="minor"/>
      </rPr>
      <t>IPKT</t>
    </r>
  </si>
  <si>
    <t>Actual Output Voltage Soft Start Time</t>
  </si>
  <si>
    <r>
      <t>Actual IPK Voltage With Selected  R</t>
    </r>
    <r>
      <rPr>
        <vertAlign val="subscript"/>
        <sz val="11"/>
        <color theme="1"/>
        <rFont val="Calibri"/>
        <family val="2"/>
        <scheme val="minor"/>
      </rPr>
      <t>IPKB</t>
    </r>
    <r>
      <rPr>
        <sz val="11"/>
        <color theme="1"/>
        <rFont val="Calibri"/>
        <family val="2"/>
        <scheme val="minor"/>
      </rPr>
      <t xml:space="preserve"> and R</t>
    </r>
    <r>
      <rPr>
        <vertAlign val="subscript"/>
        <sz val="11"/>
        <color theme="1"/>
        <rFont val="Calibri"/>
        <family val="2"/>
        <scheme val="minor"/>
      </rPr>
      <t>IPKT</t>
    </r>
  </si>
  <si>
    <r>
      <t>Suggested Low-Side Resistor (R</t>
    </r>
    <r>
      <rPr>
        <vertAlign val="subscript"/>
        <sz val="11"/>
        <color theme="1"/>
        <rFont val="Calibri"/>
        <family val="2"/>
        <scheme val="minor"/>
      </rPr>
      <t>OVPB</t>
    </r>
    <r>
      <rPr>
        <sz val="11"/>
        <color theme="1"/>
        <rFont val="Calibri"/>
        <family val="2"/>
        <scheme val="minor"/>
      </rPr>
      <t>)</t>
    </r>
  </si>
  <si>
    <t>Deisred OVP Trigger Voltage</t>
  </si>
  <si>
    <t>Actual OVP Trigger Voltage</t>
  </si>
  <si>
    <r>
      <t>Selected Bottom Feedback Resistor(R</t>
    </r>
    <r>
      <rPr>
        <vertAlign val="subscript"/>
        <sz val="11"/>
        <rFont val="Calibri"/>
        <family val="2"/>
        <scheme val="minor"/>
      </rPr>
      <t>FBB</t>
    </r>
    <r>
      <rPr>
        <sz val="11"/>
        <rFont val="Calibri"/>
        <family val="2"/>
        <scheme val="minor"/>
      </rPr>
      <t>)</t>
    </r>
  </si>
  <si>
    <r>
      <t>Suggested Top Feedback Resistor (R</t>
    </r>
    <r>
      <rPr>
        <vertAlign val="subscript"/>
        <sz val="11"/>
        <rFont val="Calibri"/>
        <family val="2"/>
        <scheme val="minor"/>
      </rPr>
      <t>FBT</t>
    </r>
    <r>
      <rPr>
        <sz val="11"/>
        <rFont val="Calibri"/>
        <family val="2"/>
        <scheme val="minor"/>
      </rPr>
      <t>)</t>
    </r>
  </si>
  <si>
    <r>
      <t>Selected Resistor Top Feedback Resistor (R</t>
    </r>
    <r>
      <rPr>
        <vertAlign val="subscript"/>
        <sz val="11"/>
        <rFont val="Calibri"/>
        <family val="2"/>
        <scheme val="minor"/>
      </rPr>
      <t>FBT</t>
    </r>
    <r>
      <rPr>
        <sz val="11"/>
        <rFont val="Calibri"/>
        <family val="2"/>
        <scheme val="minor"/>
      </rPr>
      <t>)</t>
    </r>
  </si>
  <si>
    <t>IMONx Calculations</t>
  </si>
  <si>
    <r>
      <t>Selected Low-Side Resistor (R</t>
    </r>
    <r>
      <rPr>
        <vertAlign val="subscript"/>
        <sz val="11"/>
        <color theme="1"/>
        <rFont val="Calibri"/>
        <family val="2"/>
        <scheme val="minor"/>
      </rPr>
      <t>OVPB</t>
    </r>
    <r>
      <rPr>
        <sz val="11"/>
        <color theme="1"/>
        <rFont val="Calibri"/>
        <family val="2"/>
        <scheme val="minor"/>
      </rPr>
      <t>)</t>
    </r>
  </si>
  <si>
    <r>
      <t>Suggested High-Side Resistor (R</t>
    </r>
    <r>
      <rPr>
        <vertAlign val="subscript"/>
        <sz val="11"/>
        <color theme="1"/>
        <rFont val="Calibri"/>
        <family val="2"/>
        <scheme val="minor"/>
      </rPr>
      <t>OVPT</t>
    </r>
    <r>
      <rPr>
        <sz val="11"/>
        <color theme="1"/>
        <rFont val="Calibri"/>
        <family val="2"/>
        <scheme val="minor"/>
      </rPr>
      <t>)</t>
    </r>
  </si>
  <si>
    <r>
      <t>Selected High-Side Resistor (R</t>
    </r>
    <r>
      <rPr>
        <vertAlign val="subscript"/>
        <sz val="11"/>
        <color theme="1"/>
        <rFont val="Calibri"/>
        <family val="2"/>
        <scheme val="minor"/>
      </rPr>
      <t>OVPT</t>
    </r>
    <r>
      <rPr>
        <sz val="11"/>
        <color theme="1"/>
        <rFont val="Calibri"/>
        <family val="2"/>
        <scheme val="minor"/>
      </rPr>
      <t>)</t>
    </r>
  </si>
  <si>
    <t>ISET Resistor Divider for max load deliver RISETT</t>
  </si>
  <si>
    <t>Suggested low side res RISETB</t>
  </si>
  <si>
    <t>Selected ISET low resistor RISETB</t>
  </si>
  <si>
    <t>Suggested high side RISETT</t>
  </si>
  <si>
    <t>Selected ISET high resistor RISETT</t>
  </si>
  <si>
    <r>
      <t>Selected ISET High-Side Resistor (R</t>
    </r>
    <r>
      <rPr>
        <vertAlign val="subscript"/>
        <sz val="11"/>
        <rFont val="Calibri"/>
        <family val="2"/>
        <scheme val="minor"/>
      </rPr>
      <t>ISETT</t>
    </r>
    <r>
      <rPr>
        <sz val="11"/>
        <rFont val="Calibri"/>
        <family val="2"/>
        <scheme val="minor"/>
      </rPr>
      <t>)</t>
    </r>
  </si>
  <si>
    <r>
      <t>Selected ISET Low-Side Resistor (R</t>
    </r>
    <r>
      <rPr>
        <vertAlign val="subscript"/>
        <sz val="11"/>
        <rFont val="Calibri"/>
        <family val="2"/>
        <scheme val="minor"/>
      </rPr>
      <t>ISETB</t>
    </r>
    <r>
      <rPr>
        <sz val="11"/>
        <rFont val="Calibri"/>
        <family val="2"/>
        <scheme val="minor"/>
      </rPr>
      <t>)</t>
    </r>
  </si>
  <si>
    <r>
      <t>Suggested  ISET Low-Side Resistor (R</t>
    </r>
    <r>
      <rPr>
        <vertAlign val="subscript"/>
        <sz val="11"/>
        <rFont val="Calibri"/>
        <family val="2"/>
        <scheme val="minor"/>
      </rPr>
      <t>ISETB</t>
    </r>
    <r>
      <rPr>
        <sz val="11"/>
        <rFont val="Calibri"/>
        <family val="2"/>
        <scheme val="minor"/>
      </rPr>
      <t>)</t>
    </r>
  </si>
  <si>
    <r>
      <t>Suggested ISET High-Side Resistor (R</t>
    </r>
    <r>
      <rPr>
        <vertAlign val="subscript"/>
        <sz val="11"/>
        <rFont val="Calibri"/>
        <family val="2"/>
        <scheme val="minor"/>
      </rPr>
      <t>ISETT</t>
    </r>
    <r>
      <rPr>
        <sz val="11"/>
        <rFont val="Calibri"/>
        <family val="2"/>
        <scheme val="minor"/>
      </rPr>
      <t>)</t>
    </r>
  </si>
  <si>
    <t>System Load Resistance</t>
  </si>
  <si>
    <t>VO/ISET</t>
  </si>
  <si>
    <t xml:space="preserve">crossover </t>
  </si>
  <si>
    <t>gain</t>
  </si>
  <si>
    <t>f</t>
  </si>
  <si>
    <t>p</t>
  </si>
  <si>
    <t>Maximum Low Voltage Port Current</t>
  </si>
  <si>
    <t>Low Voltage Port Parameters</t>
  </si>
  <si>
    <r>
      <t>Path Resistance (R</t>
    </r>
    <r>
      <rPr>
        <vertAlign val="subscript"/>
        <sz val="11"/>
        <rFont val="Calibri"/>
        <family val="2"/>
        <scheme val="minor"/>
      </rPr>
      <t>S</t>
    </r>
    <r>
      <rPr>
        <sz val="11"/>
        <rFont val="Calibri"/>
        <family val="2"/>
        <scheme val="minor"/>
      </rPr>
      <t>)</t>
    </r>
  </si>
  <si>
    <t>I_LV</t>
  </si>
  <si>
    <t>I_HV</t>
  </si>
  <si>
    <r>
      <t>Maximum V</t>
    </r>
    <r>
      <rPr>
        <vertAlign val="subscript"/>
        <sz val="11"/>
        <color theme="1"/>
        <rFont val="Calibri"/>
        <family val="2"/>
        <scheme val="minor"/>
      </rPr>
      <t>IMON</t>
    </r>
    <r>
      <rPr>
        <sz val="11"/>
        <color theme="1"/>
        <rFont val="Calibri"/>
        <family val="2"/>
        <scheme val="minor"/>
      </rPr>
      <t xml:space="preserve"> V</t>
    </r>
    <r>
      <rPr>
        <vertAlign val="subscript"/>
        <sz val="11"/>
        <color theme="1"/>
        <rFont val="Calibri"/>
        <family val="2"/>
        <scheme val="minor"/>
      </rPr>
      <t>RCS</t>
    </r>
    <r>
      <rPr>
        <sz val="11"/>
        <color theme="1"/>
        <rFont val="Calibri"/>
        <family val="2"/>
        <scheme val="minor"/>
      </rPr>
      <t xml:space="preserve"> = 50mV</t>
    </r>
  </si>
  <si>
    <r>
      <t>Selected I</t>
    </r>
    <r>
      <rPr>
        <vertAlign val="superscript"/>
        <sz val="11"/>
        <color theme="1"/>
        <rFont val="Calibri"/>
        <family val="2"/>
        <scheme val="minor"/>
      </rPr>
      <t>2</t>
    </r>
    <r>
      <rPr>
        <sz val="11"/>
        <color theme="1"/>
        <rFont val="Calibri"/>
        <family val="2"/>
        <scheme val="minor"/>
      </rPr>
      <t>C Adress</t>
    </r>
  </si>
  <si>
    <t>Selected IMON option</t>
  </si>
  <si>
    <t>Suggested interleaving phase angle</t>
  </si>
  <si>
    <r>
      <t>CFG Resistor Selection (R</t>
    </r>
    <r>
      <rPr>
        <vertAlign val="subscript"/>
        <sz val="11"/>
        <color theme="1"/>
        <rFont val="Calibri"/>
        <family val="2"/>
        <scheme val="minor"/>
      </rPr>
      <t>CFG</t>
    </r>
    <r>
      <rPr>
        <sz val="11"/>
        <color theme="1"/>
        <rFont val="Calibri"/>
        <family val="2"/>
        <scheme val="minor"/>
      </rPr>
      <t>, 1% Resistor, kΩ )</t>
    </r>
  </si>
  <si>
    <t>LOW</t>
  </si>
  <si>
    <t>HIGH</t>
  </si>
  <si>
    <t>Total LV Port Current</t>
  </si>
  <si>
    <t>Total HV Port Current in Boost Mode</t>
  </si>
  <si>
    <t>Useful links</t>
  </si>
  <si>
    <t>MOSFET power loss calculator for synchronous buck converter</t>
  </si>
  <si>
    <t>MOSFET power loss calculator for synchronous boost converter</t>
  </si>
  <si>
    <t>1.0.1</t>
  </si>
  <si>
    <r>
      <t>Corrected suggested boost mode voltage loop crossover frequency; Hide R</t>
    </r>
    <r>
      <rPr>
        <vertAlign val="subscript"/>
        <sz val="10"/>
        <color theme="1"/>
        <rFont val="Arial"/>
        <family val="2"/>
      </rPr>
      <t>UVLO3</t>
    </r>
    <r>
      <rPr>
        <sz val="10"/>
        <color theme="1"/>
        <rFont val="Arial"/>
        <family val="2"/>
      </rPr>
      <t xml:space="preserve"> calculation when selecting Normal for UVLO Hysteresis Type</t>
    </r>
  </si>
  <si>
    <t>0x20</t>
  </si>
  <si>
    <t>0x21</t>
  </si>
  <si>
    <t>0x22</t>
  </si>
  <si>
    <t>0x23</t>
  </si>
  <si>
    <t>0x24</t>
  </si>
  <si>
    <t>0x25</t>
  </si>
  <si>
    <t>0x26</t>
  </si>
  <si>
    <t>0x27</t>
  </si>
  <si>
    <r>
      <t>I</t>
    </r>
    <r>
      <rPr>
        <vertAlign val="superscript"/>
        <sz val="10"/>
        <color theme="1"/>
        <rFont val="Arial"/>
        <family val="2"/>
      </rPr>
      <t>2</t>
    </r>
    <r>
      <rPr>
        <sz val="10"/>
        <color theme="1"/>
        <rFont val="Arial"/>
        <family val="2"/>
      </rPr>
      <t>C adress set to 0x20~0x27</t>
    </r>
  </si>
  <si>
    <t>1.0.2</t>
  </si>
  <si>
    <t>Programmed</t>
  </si>
  <si>
    <t>Actual Dead-Time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</si>
</sst>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0.000000"/>
    <numFmt numFmtId="167" formatCode="0.0000"/>
    <numFmt numFmtId="168" formatCode="0.00000"/>
  </numFmts>
  <fonts count="42">
    <font>
      <sz val="11"/>
      <color theme="1"/>
      <name val="Calibri"/>
      <family val="2"/>
      <scheme val="minor"/>
    </font>
    <font>
      <sz val="11"/>
      <color theme="1"/>
      <name val="Calibri"/>
      <family val="2"/>
    </font>
    <font>
      <sz val="9"/>
      <color indexed="81"/>
      <name val="Tahoma"/>
      <family val="2"/>
    </font>
    <font>
      <b/>
      <sz val="9"/>
      <color indexed="81"/>
      <name val="Tahoma"/>
      <family val="2"/>
    </font>
    <font>
      <sz val="24"/>
      <color theme="1"/>
      <name val="Calibri"/>
      <family val="2"/>
      <scheme val="minor"/>
    </font>
    <font>
      <b/>
      <sz val="14"/>
      <color theme="1"/>
      <name val="Calibri"/>
      <family val="2"/>
      <scheme val="minor"/>
    </font>
    <font>
      <u/>
      <sz val="11"/>
      <color theme="1"/>
      <name val="Calibri"/>
      <family val="2"/>
      <scheme val="minor"/>
    </font>
    <font>
      <b/>
      <sz val="11"/>
      <color theme="1"/>
      <name val="Calibri"/>
      <family val="2"/>
      <scheme val="minor"/>
    </font>
    <font>
      <sz val="11"/>
      <color theme="0"/>
      <name val="Calibri"/>
      <family val="2"/>
      <scheme val="minor"/>
    </font>
    <font>
      <sz val="16"/>
      <color theme="1"/>
      <name val="Calibri"/>
      <family val="2"/>
      <scheme val="minor"/>
    </font>
    <font>
      <sz val="28"/>
      <color theme="0"/>
      <name val="Calibri"/>
      <family val="2"/>
      <scheme val="minor"/>
    </font>
    <font>
      <b/>
      <sz val="14"/>
      <color rgb="FF0070C0"/>
      <name val="Calibri"/>
      <family val="2"/>
      <scheme val="minor"/>
    </font>
    <font>
      <vertAlign val="subscript"/>
      <sz val="11"/>
      <color theme="1"/>
      <name val="Calibri"/>
      <family val="2"/>
      <scheme val="minor"/>
    </font>
    <font>
      <b/>
      <sz val="16"/>
      <color theme="1"/>
      <name val="Calibri"/>
      <family val="2"/>
      <scheme val="minor"/>
    </font>
    <font>
      <b/>
      <u/>
      <sz val="9"/>
      <color indexed="81"/>
      <name val="Tahoma"/>
      <family val="2"/>
    </font>
    <font>
      <b/>
      <vertAlign val="subscript"/>
      <sz val="9"/>
      <color indexed="81"/>
      <name val="Tahoma"/>
      <family val="2"/>
    </font>
    <font>
      <vertAlign val="subscript"/>
      <sz val="9"/>
      <color indexed="81"/>
      <name val="Tahoma"/>
      <family val="2"/>
    </font>
    <font>
      <u/>
      <sz val="9"/>
      <color indexed="81"/>
      <name val="Tahoma"/>
      <family val="2"/>
    </font>
    <font>
      <u/>
      <sz val="9"/>
      <color indexed="81"/>
      <name val="Calibri"/>
      <family val="2"/>
    </font>
    <font>
      <sz val="9"/>
      <color indexed="81"/>
      <name val="Calibri"/>
      <family val="2"/>
    </font>
    <font>
      <sz val="11"/>
      <name val="Calibri"/>
      <family val="2"/>
      <scheme val="minor"/>
    </font>
    <font>
      <b/>
      <sz val="11"/>
      <name val="Calibri"/>
      <family val="2"/>
      <scheme val="minor"/>
    </font>
    <font>
      <sz val="11"/>
      <color theme="0" tint="-0.499984740745262"/>
      <name val="Calibri"/>
      <family val="2"/>
      <scheme val="minor"/>
    </font>
    <font>
      <vertAlign val="subscript"/>
      <sz val="11"/>
      <name val="Calibri"/>
      <family val="2"/>
      <scheme val="minor"/>
    </font>
    <font>
      <sz val="9"/>
      <name val="Calibri"/>
      <family val="3"/>
      <charset val="134"/>
      <scheme val="minor"/>
    </font>
    <font>
      <sz val="11"/>
      <color theme="1"/>
      <name val="Calibri"/>
      <family val="2"/>
      <scheme val="minor"/>
    </font>
    <font>
      <sz val="11"/>
      <color theme="1"/>
      <name val="Arial"/>
      <family val="2"/>
    </font>
    <font>
      <b/>
      <sz val="10"/>
      <color theme="1"/>
      <name val="Arial"/>
      <family val="2"/>
    </font>
    <font>
      <sz val="10"/>
      <color theme="1"/>
      <name val="Arial"/>
      <family val="2"/>
    </font>
    <font>
      <u/>
      <sz val="11"/>
      <color theme="10"/>
      <name val="Calibri"/>
      <family val="2"/>
      <scheme val="minor"/>
    </font>
    <font>
      <b/>
      <u/>
      <sz val="10"/>
      <color theme="10"/>
      <name val="Arial"/>
      <family val="2"/>
    </font>
    <font>
      <sz val="10"/>
      <name val="Arial"/>
      <family val="2"/>
    </font>
    <font>
      <b/>
      <sz val="10"/>
      <color theme="0"/>
      <name val="Arial"/>
      <family val="2"/>
    </font>
    <font>
      <b/>
      <u/>
      <sz val="11"/>
      <color theme="10"/>
      <name val="Arial"/>
      <family val="2"/>
    </font>
    <font>
      <b/>
      <vertAlign val="subscript"/>
      <sz val="11"/>
      <color theme="1"/>
      <name val="Calibri"/>
      <family val="2"/>
      <scheme val="minor"/>
    </font>
    <font>
      <b/>
      <vertAlign val="subscript"/>
      <sz val="14"/>
      <color rgb="FF0070C0"/>
      <name val="Calibri"/>
      <family val="2"/>
      <scheme val="minor"/>
    </font>
    <font>
      <vertAlign val="superscript"/>
      <sz val="9"/>
      <color indexed="81"/>
      <name val="Tahoma"/>
      <family val="2"/>
    </font>
    <font>
      <b/>
      <vertAlign val="superscript"/>
      <sz val="9"/>
      <color indexed="81"/>
      <name val="Tahoma"/>
      <family val="2"/>
    </font>
    <font>
      <vertAlign val="superscript"/>
      <sz val="11"/>
      <color theme="1"/>
      <name val="Calibri"/>
      <family val="2"/>
      <scheme val="minor"/>
    </font>
    <font>
      <u/>
      <sz val="10"/>
      <color theme="10"/>
      <name val="Calibri"/>
      <family val="2"/>
      <scheme val="minor"/>
    </font>
    <font>
      <vertAlign val="subscript"/>
      <sz val="10"/>
      <color theme="1"/>
      <name val="Arial"/>
      <family val="2"/>
    </font>
    <font>
      <vertAlign val="superscript"/>
      <sz val="10"/>
      <color theme="1"/>
      <name val="Arial"/>
      <family val="2"/>
    </font>
  </fonts>
  <fills count="13">
    <fill>
      <patternFill patternType="none"/>
    </fill>
    <fill>
      <patternFill patternType="gray125"/>
    </fill>
    <fill>
      <patternFill patternType="solid">
        <fgColor rgb="FF92D050"/>
        <bgColor indexed="64"/>
      </patternFill>
    </fill>
    <fill>
      <patternFill patternType="solid">
        <fgColor rgb="FFFF0000"/>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rgb="FFDE0000"/>
        <bgColor indexed="64"/>
      </patternFill>
    </fill>
    <fill>
      <patternFill patternType="solid">
        <fgColor theme="1"/>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right/>
      <top style="medium">
        <color indexed="64"/>
      </top>
      <bottom style="thin">
        <color indexed="64"/>
      </bottom>
      <diagonal/>
    </border>
    <border>
      <left style="thin">
        <color theme="0"/>
      </left>
      <right style="thin">
        <color theme="0"/>
      </right>
      <top style="thin">
        <color theme="0"/>
      </top>
      <bottom style="thin">
        <color theme="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diagonal/>
    </border>
  </borders>
  <cellStyleXfs count="4">
    <xf numFmtId="0" fontId="0" fillId="0" borderId="0"/>
    <xf numFmtId="0" fontId="25" fillId="0" borderId="0"/>
    <xf numFmtId="0" fontId="29" fillId="0" borderId="0" applyNumberFormat="0" applyFill="0" applyBorder="0" applyAlignment="0" applyProtection="0"/>
    <xf numFmtId="0" fontId="29" fillId="0" borderId="0" applyNumberFormat="0" applyFill="0" applyBorder="0" applyAlignment="0" applyProtection="0"/>
  </cellStyleXfs>
  <cellXfs count="330">
    <xf numFmtId="0" fontId="0" fillId="0" borderId="0" xfId="0"/>
    <xf numFmtId="0" fontId="0" fillId="0" borderId="1" xfId="0" applyBorder="1"/>
    <xf numFmtId="0" fontId="0" fillId="0" borderId="0" xfId="0" applyAlignment="1">
      <alignment horizontal="center" wrapText="1"/>
    </xf>
    <xf numFmtId="0" fontId="0" fillId="0" borderId="6" xfId="0" applyBorder="1" applyAlignment="1">
      <alignment horizontal="center" wrapText="1"/>
    </xf>
    <xf numFmtId="0" fontId="0" fillId="0" borderId="0" xfId="0" applyBorder="1" applyAlignment="1">
      <alignment horizontal="center" wrapText="1"/>
    </xf>
    <xf numFmtId="0" fontId="0" fillId="0" borderId="7" xfId="0" applyBorder="1" applyAlignment="1">
      <alignment horizontal="center" wrapText="1"/>
    </xf>
    <xf numFmtId="0" fontId="0" fillId="0" borderId="8" xfId="0" applyBorder="1"/>
    <xf numFmtId="0" fontId="0" fillId="0" borderId="9"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1" xfId="0" applyBorder="1"/>
    <xf numFmtId="0" fontId="0" fillId="0" borderId="22" xfId="0" applyBorder="1"/>
    <xf numFmtId="0" fontId="0" fillId="0" borderId="23" xfId="0" applyBorder="1"/>
    <xf numFmtId="0" fontId="0" fillId="0" borderId="24" xfId="0" applyBorder="1" applyAlignment="1">
      <alignment horizontal="center" wrapText="1"/>
    </xf>
    <xf numFmtId="0" fontId="0" fillId="0" borderId="25" xfId="0" applyBorder="1" applyAlignment="1">
      <alignment horizontal="center" wrapText="1"/>
    </xf>
    <xf numFmtId="0" fontId="0" fillId="0" borderId="26" xfId="0" applyBorder="1" applyAlignment="1">
      <alignment horizontal="center" wrapText="1"/>
    </xf>
    <xf numFmtId="0" fontId="0" fillId="0" borderId="0" xfId="0" applyAlignment="1"/>
    <xf numFmtId="0" fontId="0" fillId="0" borderId="0" xfId="0" applyAlignment="1">
      <alignment wrapText="1"/>
    </xf>
    <xf numFmtId="0" fontId="0" fillId="0" borderId="0" xfId="0" applyAlignment="1">
      <alignment horizontal="center" vertical="center" wrapText="1"/>
    </xf>
    <xf numFmtId="0" fontId="0" fillId="0" borderId="28" xfId="0" applyBorder="1"/>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165" fontId="0" fillId="0" borderId="8" xfId="0" applyNumberFormat="1" applyBorder="1"/>
    <xf numFmtId="0" fontId="0" fillId="0" borderId="6" xfId="0" applyBorder="1"/>
    <xf numFmtId="0" fontId="0" fillId="0" borderId="29" xfId="0" applyBorder="1"/>
    <xf numFmtId="0" fontId="4" fillId="0" borderId="0" xfId="0" applyFont="1" applyAlignment="1"/>
    <xf numFmtId="0" fontId="4" fillId="0" borderId="0" xfId="0" applyFont="1" applyAlignment="1">
      <alignment horizontal="left" vertical="center"/>
    </xf>
    <xf numFmtId="0" fontId="0" fillId="0" borderId="1" xfId="0" applyBorder="1" applyAlignment="1">
      <alignment horizontal="left"/>
    </xf>
    <xf numFmtId="0" fontId="0" fillId="0" borderId="1" xfId="0" applyBorder="1" applyAlignment="1">
      <alignment horizontal="center"/>
    </xf>
    <xf numFmtId="0" fontId="0" fillId="0" borderId="0" xfId="0" applyAlignment="1">
      <alignment horizontal="right"/>
    </xf>
    <xf numFmtId="0" fontId="0" fillId="0" borderId="0" xfId="0" applyAlignment="1">
      <alignment horizontal="left"/>
    </xf>
    <xf numFmtId="0" fontId="0" fillId="0" borderId="0" xfId="0" applyAlignment="1">
      <alignment horizontal="left" vertical="center" wrapText="1"/>
    </xf>
    <xf numFmtId="0" fontId="0" fillId="5" borderId="0" xfId="0" applyFill="1"/>
    <xf numFmtId="0" fontId="0" fillId="6" borderId="0" xfId="0" applyFill="1"/>
    <xf numFmtId="0" fontId="0" fillId="2" borderId="0" xfId="0" applyFill="1"/>
    <xf numFmtId="0" fontId="0" fillId="7" borderId="0" xfId="0" applyFill="1"/>
    <xf numFmtId="0" fontId="0" fillId="0" borderId="9" xfId="0" applyBorder="1" applyAlignment="1">
      <alignment horizontal="left"/>
    </xf>
    <xf numFmtId="0" fontId="1" fillId="0" borderId="0" xfId="0" applyFont="1"/>
    <xf numFmtId="0" fontId="0" fillId="0" borderId="0" xfId="0" applyFill="1" applyBorder="1"/>
    <xf numFmtId="0" fontId="0" fillId="0" borderId="0" xfId="0" applyBorder="1" applyAlignment="1">
      <alignment horizontal="left"/>
    </xf>
    <xf numFmtId="0" fontId="0" fillId="0" borderId="0" xfId="0" applyAlignment="1">
      <alignment horizontal="left" wrapText="1"/>
    </xf>
    <xf numFmtId="0" fontId="0" fillId="5" borderId="1" xfId="0" applyFill="1" applyBorder="1" applyAlignment="1">
      <alignment horizontal="right"/>
    </xf>
    <xf numFmtId="0" fontId="0" fillId="6" borderId="1" xfId="0" applyFill="1" applyBorder="1" applyAlignment="1">
      <alignment horizontal="right"/>
    </xf>
    <xf numFmtId="48" fontId="0" fillId="2" borderId="1" xfId="0" applyNumberFormat="1" applyFill="1" applyBorder="1" applyAlignment="1">
      <alignment horizontal="right"/>
    </xf>
    <xf numFmtId="0" fontId="0" fillId="7" borderId="1" xfId="0" applyFill="1" applyBorder="1" applyAlignment="1">
      <alignment horizontal="right"/>
    </xf>
    <xf numFmtId="0" fontId="0" fillId="0" borderId="1" xfId="0" applyBorder="1" applyAlignment="1">
      <alignment horizontal="right"/>
    </xf>
    <xf numFmtId="2" fontId="0" fillId="6" borderId="1" xfId="0" applyNumberFormat="1" applyFill="1" applyBorder="1" applyAlignment="1">
      <alignment horizontal="right"/>
    </xf>
    <xf numFmtId="164" fontId="0" fillId="5" borderId="1" xfId="0" applyNumberFormat="1" applyFill="1" applyBorder="1" applyAlignment="1">
      <alignment horizontal="right"/>
    </xf>
    <xf numFmtId="164" fontId="0" fillId="6" borderId="1" xfId="0" applyNumberFormat="1" applyFill="1" applyBorder="1" applyAlignment="1">
      <alignment horizontal="right"/>
    </xf>
    <xf numFmtId="165" fontId="0" fillId="6" borderId="1" xfId="0" applyNumberFormat="1" applyFill="1" applyBorder="1" applyAlignment="1">
      <alignment horizontal="right"/>
    </xf>
    <xf numFmtId="166" fontId="0" fillId="6" borderId="1" xfId="0" applyNumberFormat="1" applyFill="1" applyBorder="1" applyAlignment="1">
      <alignment horizontal="right"/>
    </xf>
    <xf numFmtId="2" fontId="0" fillId="5" borderId="1" xfId="0" applyNumberFormat="1" applyFill="1" applyBorder="1" applyAlignment="1">
      <alignment horizontal="right"/>
    </xf>
    <xf numFmtId="2" fontId="0" fillId="0" borderId="1" xfId="0" applyNumberFormat="1" applyBorder="1" applyAlignment="1">
      <alignment horizontal="right"/>
    </xf>
    <xf numFmtId="167" fontId="0" fillId="6" borderId="1" xfId="0" applyNumberFormat="1" applyFill="1" applyBorder="1" applyAlignment="1">
      <alignment horizontal="right"/>
    </xf>
    <xf numFmtId="165" fontId="0" fillId="0" borderId="1" xfId="0" applyNumberFormat="1" applyBorder="1" applyAlignment="1">
      <alignment horizontal="right"/>
    </xf>
    <xf numFmtId="0" fontId="6" fillId="0" borderId="0" xfId="0" applyFont="1" applyAlignment="1">
      <alignment horizontal="left"/>
    </xf>
    <xf numFmtId="0" fontId="0" fillId="0" borderId="1" xfId="0" applyFill="1" applyBorder="1" applyAlignment="1">
      <alignment horizontal="left"/>
    </xf>
    <xf numFmtId="0" fontId="1" fillId="0" borderId="1" xfId="0" applyFont="1" applyFill="1" applyBorder="1" applyAlignment="1">
      <alignment horizontal="left"/>
    </xf>
    <xf numFmtId="0" fontId="0" fillId="0" borderId="1" xfId="0" applyBorder="1" applyAlignment="1">
      <alignment horizontal="left" vertical="center" wrapText="1"/>
    </xf>
    <xf numFmtId="2" fontId="0" fillId="0" borderId="1" xfId="0" applyNumberFormat="1" applyBorder="1" applyAlignment="1">
      <alignment horizontal="right" vertical="center" wrapText="1"/>
    </xf>
    <xf numFmtId="0" fontId="0" fillId="0" borderId="1" xfId="0" applyBorder="1" applyAlignment="1">
      <alignment horizontal="center" vertical="center" wrapText="1"/>
    </xf>
    <xf numFmtId="0" fontId="0" fillId="0" borderId="1" xfId="0" applyBorder="1" applyAlignment="1">
      <alignment horizontal="center" wrapText="1"/>
    </xf>
    <xf numFmtId="168" fontId="0" fillId="0" borderId="1" xfId="0" applyNumberFormat="1" applyBorder="1"/>
    <xf numFmtId="0" fontId="7" fillId="0" borderId="0" xfId="0" applyFont="1" applyAlignment="1">
      <alignment horizontal="left"/>
    </xf>
    <xf numFmtId="0" fontId="0" fillId="0" borderId="13" xfId="0" applyBorder="1" applyAlignment="1">
      <alignment horizontal="left"/>
    </xf>
    <xf numFmtId="164" fontId="0" fillId="6" borderId="14" xfId="0" applyNumberFormat="1" applyFill="1" applyBorder="1" applyAlignment="1">
      <alignment horizontal="right"/>
    </xf>
    <xf numFmtId="0" fontId="0" fillId="0" borderId="15" xfId="0" applyBorder="1" applyAlignment="1">
      <alignment horizontal="left"/>
    </xf>
    <xf numFmtId="0" fontId="0" fillId="0" borderId="8" xfId="0" applyBorder="1" applyAlignment="1">
      <alignment horizontal="left"/>
    </xf>
    <xf numFmtId="0" fontId="0" fillId="0" borderId="10" xfId="0" applyBorder="1" applyAlignment="1">
      <alignment horizontal="left"/>
    </xf>
    <xf numFmtId="0" fontId="0" fillId="0" borderId="12" xfId="0" applyBorder="1" applyAlignment="1">
      <alignment horizontal="left"/>
    </xf>
    <xf numFmtId="0" fontId="0" fillId="0" borderId="0" xfId="0" applyFill="1" applyBorder="1" applyAlignment="1">
      <alignment horizontal="center" vertical="center" wrapText="1"/>
    </xf>
    <xf numFmtId="0" fontId="0" fillId="4" borderId="4" xfId="0" applyFill="1" applyBorder="1" applyAlignment="1"/>
    <xf numFmtId="0" fontId="0" fillId="0" borderId="0" xfId="0" applyFill="1" applyBorder="1" applyAlignment="1"/>
    <xf numFmtId="0" fontId="0" fillId="9" borderId="0" xfId="0" applyFill="1"/>
    <xf numFmtId="165" fontId="0" fillId="0" borderId="1" xfId="0" applyNumberFormat="1" applyBorder="1"/>
    <xf numFmtId="0" fontId="0" fillId="0" borderId="1" xfId="0" applyFill="1" applyBorder="1"/>
    <xf numFmtId="165" fontId="0" fillId="0" borderId="1" xfId="0" applyNumberFormat="1" applyFill="1" applyBorder="1"/>
    <xf numFmtId="0" fontId="0" fillId="0" borderId="28" xfId="0" applyBorder="1" applyAlignment="1">
      <alignment horizontal="center" vertical="center" wrapText="1"/>
    </xf>
    <xf numFmtId="0" fontId="0" fillId="0" borderId="28" xfId="0" applyFill="1" applyBorder="1"/>
    <xf numFmtId="0" fontId="0" fillId="0" borderId="8" xfId="0" applyBorder="1" applyAlignment="1">
      <alignment horizontal="center" vertical="center" wrapText="1"/>
    </xf>
    <xf numFmtId="0" fontId="0" fillId="0" borderId="9" xfId="0" applyBorder="1" applyAlignment="1">
      <alignment horizontal="center" vertical="center" wrapText="1"/>
    </xf>
    <xf numFmtId="165" fontId="0" fillId="0" borderId="8" xfId="0" applyNumberFormat="1" applyFill="1" applyBorder="1"/>
    <xf numFmtId="0" fontId="0" fillId="0" borderId="9" xfId="0" applyFill="1" applyBorder="1"/>
    <xf numFmtId="0" fontId="0" fillId="0" borderId="11" xfId="0" applyFill="1" applyBorder="1"/>
    <xf numFmtId="0" fontId="0" fillId="0" borderId="12" xfId="0" applyFill="1" applyBorder="1"/>
    <xf numFmtId="0" fontId="0" fillId="0" borderId="8" xfId="0" applyFill="1" applyBorder="1"/>
    <xf numFmtId="0" fontId="0" fillId="0" borderId="8" xfId="0" applyFill="1" applyBorder="1" applyAlignment="1">
      <alignment horizontal="center" vertical="center" wrapText="1"/>
    </xf>
    <xf numFmtId="0" fontId="0" fillId="0" borderId="9" xfId="0" applyFill="1"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5" borderId="1" xfId="0" applyFill="1" applyBorder="1"/>
    <xf numFmtId="165" fontId="0" fillId="5" borderId="1" xfId="0" applyNumberFormat="1" applyFill="1" applyBorder="1"/>
    <xf numFmtId="0" fontId="0" fillId="5" borderId="11" xfId="0" applyFill="1" applyBorder="1"/>
    <xf numFmtId="0" fontId="0" fillId="5" borderId="12" xfId="0" applyFill="1" applyBorder="1"/>
    <xf numFmtId="0" fontId="0" fillId="5" borderId="8" xfId="0" applyFill="1" applyBorder="1"/>
    <xf numFmtId="0" fontId="0" fillId="5" borderId="10" xfId="0" applyFill="1" applyBorder="1"/>
    <xf numFmtId="0" fontId="0" fillId="0" borderId="37" xfId="0" applyFill="1" applyBorder="1"/>
    <xf numFmtId="0" fontId="0" fillId="0" borderId="32" xfId="0" applyFill="1" applyBorder="1"/>
    <xf numFmtId="165" fontId="0" fillId="0" borderId="38" xfId="0" applyNumberFormat="1" applyFill="1" applyBorder="1"/>
    <xf numFmtId="0" fontId="0" fillId="0" borderId="39" xfId="0" applyFill="1" applyBorder="1"/>
    <xf numFmtId="0" fontId="0" fillId="0" borderId="38" xfId="0" applyBorder="1"/>
    <xf numFmtId="165" fontId="0" fillId="0" borderId="38" xfId="0" applyNumberFormat="1" applyBorder="1"/>
    <xf numFmtId="0" fontId="0" fillId="0" borderId="38" xfId="0" applyFill="1" applyBorder="1"/>
    <xf numFmtId="164" fontId="0" fillId="0" borderId="1" xfId="0" applyNumberFormat="1" applyBorder="1" applyAlignment="1">
      <alignment horizontal="right"/>
    </xf>
    <xf numFmtId="165" fontId="0" fillId="0" borderId="1" xfId="0" applyNumberFormat="1" applyBorder="1" applyAlignment="1">
      <alignment horizontal="left"/>
    </xf>
    <xf numFmtId="165" fontId="0" fillId="5" borderId="1" xfId="0" applyNumberFormat="1" applyFill="1" applyBorder="1" applyAlignment="1">
      <alignment horizontal="right"/>
    </xf>
    <xf numFmtId="0" fontId="0" fillId="5" borderId="13" xfId="0" applyFill="1" applyBorder="1"/>
    <xf numFmtId="0" fontId="0" fillId="5" borderId="14" xfId="0" applyFill="1" applyBorder="1"/>
    <xf numFmtId="165" fontId="0" fillId="5" borderId="14" xfId="0" applyNumberFormat="1" applyFill="1" applyBorder="1"/>
    <xf numFmtId="0" fontId="0" fillId="0" borderId="14" xfId="0" applyFill="1" applyBorder="1"/>
    <xf numFmtId="0" fontId="0" fillId="0" borderId="15" xfId="0" applyFill="1" applyBorder="1"/>
    <xf numFmtId="165" fontId="0" fillId="5" borderId="11" xfId="0" applyNumberFormat="1" applyFill="1" applyBorder="1"/>
    <xf numFmtId="0" fontId="0" fillId="5" borderId="15" xfId="0" applyFill="1" applyBorder="1"/>
    <xf numFmtId="0" fontId="0" fillId="5" borderId="9" xfId="0" applyFill="1" applyBorder="1"/>
    <xf numFmtId="2" fontId="0" fillId="0" borderId="0" xfId="0" applyNumberFormat="1"/>
    <xf numFmtId="0" fontId="0" fillId="0" borderId="37" xfId="0" applyBorder="1"/>
    <xf numFmtId="2" fontId="0" fillId="0" borderId="6" xfId="0" applyNumberFormat="1" applyBorder="1"/>
    <xf numFmtId="0" fontId="0" fillId="10" borderId="6" xfId="0" applyFill="1" applyBorder="1" applyAlignment="1" applyProtection="1">
      <alignment horizontal="right"/>
      <protection hidden="1"/>
    </xf>
    <xf numFmtId="0" fontId="0" fillId="10" borderId="0" xfId="0" applyFill="1" applyBorder="1" applyProtection="1">
      <protection hidden="1"/>
    </xf>
    <xf numFmtId="0" fontId="0" fillId="10" borderId="0" xfId="0" applyFill="1" applyBorder="1" applyAlignment="1" applyProtection="1">
      <alignment vertical="center"/>
      <protection hidden="1"/>
    </xf>
    <xf numFmtId="0" fontId="0" fillId="10" borderId="35" xfId="0" applyFill="1" applyBorder="1" applyAlignment="1" applyProtection="1">
      <alignment vertical="center"/>
      <protection hidden="1"/>
    </xf>
    <xf numFmtId="0" fontId="0" fillId="10" borderId="6" xfId="0" applyFill="1" applyBorder="1" applyAlignment="1" applyProtection="1">
      <alignment horizontal="left"/>
      <protection hidden="1"/>
    </xf>
    <xf numFmtId="0" fontId="0" fillId="9" borderId="34" xfId="0" applyFill="1" applyBorder="1" applyProtection="1">
      <protection hidden="1"/>
    </xf>
    <xf numFmtId="0" fontId="8" fillId="10" borderId="0" xfId="0" applyFont="1" applyFill="1" applyBorder="1" applyProtection="1">
      <protection hidden="1"/>
    </xf>
    <xf numFmtId="0" fontId="8" fillId="10" borderId="0" xfId="0" applyFont="1" applyFill="1" applyBorder="1" applyAlignment="1" applyProtection="1">
      <alignment vertical="center"/>
      <protection hidden="1"/>
    </xf>
    <xf numFmtId="0" fontId="0" fillId="10" borderId="29" xfId="0" applyFill="1" applyBorder="1" applyAlignment="1" applyProtection="1">
      <alignment horizontal="right"/>
      <protection hidden="1"/>
    </xf>
    <xf numFmtId="0" fontId="0" fillId="10" borderId="27" xfId="0" applyFill="1" applyBorder="1" applyProtection="1">
      <protection hidden="1"/>
    </xf>
    <xf numFmtId="0" fontId="0" fillId="10" borderId="27" xfId="0" applyFill="1" applyBorder="1" applyAlignment="1" applyProtection="1">
      <alignment vertical="center"/>
      <protection hidden="1"/>
    </xf>
    <xf numFmtId="0" fontId="0" fillId="10" borderId="40" xfId="0" applyFill="1" applyBorder="1" applyAlignment="1" applyProtection="1">
      <alignment vertical="center"/>
      <protection hidden="1"/>
    </xf>
    <xf numFmtId="0" fontId="0" fillId="8" borderId="0" xfId="0" applyFill="1" applyAlignment="1" applyProtection="1">
      <alignment horizontal="right"/>
      <protection hidden="1"/>
    </xf>
    <xf numFmtId="0" fontId="0" fillId="8" borderId="0" xfId="0" applyFill="1" applyProtection="1">
      <protection hidden="1"/>
    </xf>
    <xf numFmtId="0" fontId="0" fillId="8" borderId="0" xfId="0" applyFill="1" applyBorder="1" applyProtection="1">
      <protection hidden="1"/>
    </xf>
    <xf numFmtId="0" fontId="0" fillId="8" borderId="0" xfId="0" applyFill="1" applyBorder="1" applyAlignment="1" applyProtection="1">
      <alignment vertical="center"/>
      <protection hidden="1"/>
    </xf>
    <xf numFmtId="0" fontId="0" fillId="8" borderId="35" xfId="0" applyFill="1" applyBorder="1" applyAlignment="1" applyProtection="1">
      <alignment vertical="center"/>
      <protection hidden="1"/>
    </xf>
    <xf numFmtId="0" fontId="11" fillId="8" borderId="0" xfId="0" applyFont="1" applyFill="1" applyBorder="1" applyAlignment="1" applyProtection="1">
      <alignment horizontal="left"/>
      <protection hidden="1"/>
    </xf>
    <xf numFmtId="0" fontId="9" fillId="8" borderId="0" xfId="0" applyFont="1" applyFill="1" applyBorder="1" applyAlignment="1" applyProtection="1">
      <alignment horizontal="center" vertical="center"/>
      <protection hidden="1"/>
    </xf>
    <xf numFmtId="0" fontId="0" fillId="8" borderId="6" xfId="0" applyFill="1" applyBorder="1" applyAlignment="1" applyProtection="1">
      <alignment horizontal="right"/>
      <protection hidden="1"/>
    </xf>
    <xf numFmtId="0" fontId="0" fillId="8" borderId="7" xfId="0" applyFill="1" applyBorder="1" applyProtection="1">
      <protection hidden="1"/>
    </xf>
    <xf numFmtId="0" fontId="0" fillId="8" borderId="29" xfId="0" applyFill="1" applyBorder="1" applyAlignment="1" applyProtection="1">
      <alignment horizontal="right"/>
      <protection hidden="1"/>
    </xf>
    <xf numFmtId="0" fontId="0" fillId="8" borderId="30" xfId="0" applyFill="1" applyBorder="1" applyProtection="1">
      <protection hidden="1"/>
    </xf>
    <xf numFmtId="0" fontId="0" fillId="8" borderId="0" xfId="0" applyFill="1" applyBorder="1" applyAlignment="1" applyProtection="1">
      <alignment horizontal="right"/>
      <protection hidden="1"/>
    </xf>
    <xf numFmtId="0" fontId="0" fillId="0" borderId="0" xfId="0" applyFill="1" applyBorder="1" applyProtection="1">
      <protection hidden="1"/>
    </xf>
    <xf numFmtId="0" fontId="0" fillId="8" borderId="27" xfId="0" applyFill="1" applyBorder="1" applyProtection="1">
      <protection hidden="1"/>
    </xf>
    <xf numFmtId="165" fontId="0" fillId="8" borderId="0" xfId="0" applyNumberFormat="1" applyFill="1" applyBorder="1" applyProtection="1">
      <protection hidden="1"/>
    </xf>
    <xf numFmtId="0" fontId="5" fillId="8" borderId="0" xfId="0" applyFont="1" applyFill="1" applyBorder="1" applyAlignment="1" applyProtection="1">
      <alignment horizontal="center"/>
      <protection hidden="1"/>
    </xf>
    <xf numFmtId="0" fontId="0" fillId="8" borderId="7" xfId="0" applyFill="1" applyBorder="1" applyAlignment="1" applyProtection="1">
      <alignment horizontal="center"/>
      <protection hidden="1"/>
    </xf>
    <xf numFmtId="48" fontId="0" fillId="8" borderId="0" xfId="0" applyNumberFormat="1" applyFill="1" applyProtection="1">
      <protection hidden="1"/>
    </xf>
    <xf numFmtId="2" fontId="0" fillId="8" borderId="27" xfId="0" applyNumberFormat="1" applyFill="1" applyBorder="1" applyProtection="1">
      <protection hidden="1"/>
    </xf>
    <xf numFmtId="2" fontId="0" fillId="8" borderId="0" xfId="0" applyNumberFormat="1" applyFill="1" applyBorder="1" applyProtection="1">
      <protection hidden="1"/>
    </xf>
    <xf numFmtId="0" fontId="0" fillId="8" borderId="7" xfId="0" applyFill="1" applyBorder="1" applyAlignment="1" applyProtection="1">
      <alignment horizontal="left"/>
      <protection hidden="1"/>
    </xf>
    <xf numFmtId="0" fontId="0" fillId="8" borderId="5" xfId="0" applyFill="1" applyBorder="1" applyProtection="1">
      <protection hidden="1"/>
    </xf>
    <xf numFmtId="0" fontId="0" fillId="8" borderId="35" xfId="0" applyFill="1" applyBorder="1" applyProtection="1">
      <protection hidden="1"/>
    </xf>
    <xf numFmtId="0" fontId="0" fillId="8" borderId="0" xfId="0" applyFill="1" applyAlignment="1" applyProtection="1">
      <protection hidden="1"/>
    </xf>
    <xf numFmtId="0" fontId="0" fillId="8" borderId="35" xfId="0" applyFill="1" applyBorder="1" applyAlignment="1" applyProtection="1">
      <protection hidden="1"/>
    </xf>
    <xf numFmtId="164" fontId="0" fillId="8" borderId="0" xfId="0" applyNumberFormat="1" applyFill="1" applyBorder="1" applyProtection="1">
      <protection hidden="1"/>
    </xf>
    <xf numFmtId="0" fontId="0" fillId="8" borderId="0" xfId="0" applyFill="1" applyBorder="1" applyAlignment="1" applyProtection="1">
      <alignment horizontal="center"/>
      <protection hidden="1"/>
    </xf>
    <xf numFmtId="0" fontId="0" fillId="8" borderId="0" xfId="0" applyFill="1" applyAlignment="1" applyProtection="1">
      <alignment horizontal="center"/>
      <protection hidden="1"/>
    </xf>
    <xf numFmtId="0" fontId="0" fillId="8" borderId="0" xfId="0" applyFill="1" applyBorder="1" applyAlignment="1" applyProtection="1">
      <alignment horizontal="center" vertical="center"/>
      <protection hidden="1"/>
    </xf>
    <xf numFmtId="164" fontId="0" fillId="8" borderId="27" xfId="0" applyNumberFormat="1" applyFill="1" applyBorder="1" applyProtection="1">
      <protection hidden="1"/>
    </xf>
    <xf numFmtId="0" fontId="0" fillId="9" borderId="0" xfId="0" applyFill="1" applyBorder="1" applyProtection="1">
      <protection locked="0" hidden="1"/>
    </xf>
    <xf numFmtId="0" fontId="0" fillId="9" borderId="27" xfId="0" applyFill="1" applyBorder="1" applyProtection="1">
      <protection locked="0" hidden="1"/>
    </xf>
    <xf numFmtId="0" fontId="0" fillId="9" borderId="0" xfId="0" applyFill="1" applyBorder="1" applyAlignment="1" applyProtection="1">
      <alignment horizontal="right"/>
      <protection locked="0" hidden="1"/>
    </xf>
    <xf numFmtId="0" fontId="0" fillId="9" borderId="4" xfId="0" applyFill="1" applyBorder="1" applyProtection="1">
      <protection locked="0" hidden="1"/>
    </xf>
    <xf numFmtId="0" fontId="0" fillId="0" borderId="0" xfId="0" applyFill="1" applyBorder="1" applyAlignment="1">
      <alignment horizontal="center"/>
    </xf>
    <xf numFmtId="0" fontId="20" fillId="8" borderId="6" xfId="0" applyFont="1" applyFill="1" applyBorder="1" applyAlignment="1" applyProtection="1">
      <alignment horizontal="right"/>
      <protection hidden="1"/>
    </xf>
    <xf numFmtId="165" fontId="0" fillId="0" borderId="0" xfId="0" applyNumberFormat="1" applyBorder="1" applyAlignment="1">
      <alignment horizontal="right"/>
    </xf>
    <xf numFmtId="0" fontId="0" fillId="0" borderId="1" xfId="0" applyBorder="1" applyAlignment="1">
      <alignment wrapText="1"/>
    </xf>
    <xf numFmtId="0" fontId="20" fillId="0" borderId="1" xfId="0" applyFont="1" applyBorder="1" applyAlignment="1">
      <alignment horizontal="right"/>
    </xf>
    <xf numFmtId="0" fontId="20" fillId="0" borderId="0" xfId="0" applyFont="1" applyBorder="1" applyAlignment="1">
      <alignment horizontal="right"/>
    </xf>
    <xf numFmtId="1" fontId="0" fillId="8" borderId="0" xfId="0" applyNumberFormat="1" applyFill="1" applyBorder="1" applyProtection="1">
      <protection hidden="1"/>
    </xf>
    <xf numFmtId="0" fontId="20" fillId="8" borderId="29" xfId="0" applyFont="1" applyFill="1" applyBorder="1" applyAlignment="1" applyProtection="1">
      <alignment horizontal="right"/>
      <protection hidden="1"/>
    </xf>
    <xf numFmtId="0" fontId="21" fillId="0" borderId="1" xfId="0" applyFont="1" applyBorder="1" applyAlignment="1">
      <alignment horizontal="left"/>
    </xf>
    <xf numFmtId="0" fontId="7" fillId="0" borderId="1" xfId="0" applyFont="1" applyBorder="1" applyAlignment="1">
      <alignment horizontal="left"/>
    </xf>
    <xf numFmtId="0" fontId="0" fillId="0" borderId="41" xfId="0" applyBorder="1" applyAlignment="1">
      <alignment horizontal="center" vertical="center" wrapText="1"/>
    </xf>
    <xf numFmtId="0" fontId="0" fillId="0" borderId="0" xfId="0" applyAlignment="1">
      <alignment horizontal="center"/>
    </xf>
    <xf numFmtId="0" fontId="0" fillId="0" borderId="27" xfId="0" applyBorder="1" applyAlignment="1">
      <alignment horizontal="center"/>
    </xf>
    <xf numFmtId="0" fontId="20" fillId="0" borderId="1" xfId="0" applyFont="1" applyBorder="1" applyAlignment="1">
      <alignment horizontal="left"/>
    </xf>
    <xf numFmtId="0" fontId="0" fillId="8" borderId="6" xfId="0" applyFill="1" applyBorder="1" applyAlignment="1" applyProtection="1">
      <alignment horizontal="left"/>
      <protection hidden="1"/>
    </xf>
    <xf numFmtId="0" fontId="20" fillId="8" borderId="3" xfId="0" applyFont="1" applyFill="1" applyBorder="1" applyAlignment="1" applyProtection="1">
      <alignment horizontal="right"/>
      <protection hidden="1"/>
    </xf>
    <xf numFmtId="0" fontId="26" fillId="0" borderId="42" xfId="1" applyFont="1" applyBorder="1"/>
    <xf numFmtId="0" fontId="27" fillId="0" borderId="42" xfId="1" applyFont="1" applyBorder="1" applyAlignment="1">
      <alignment horizontal="center"/>
    </xf>
    <xf numFmtId="0" fontId="27" fillId="0" borderId="42" xfId="1" applyFont="1" applyBorder="1" applyAlignment="1">
      <alignment horizontal="left"/>
    </xf>
    <xf numFmtId="0" fontId="28" fillId="0" borderId="42" xfId="1" applyFont="1" applyBorder="1"/>
    <xf numFmtId="0" fontId="30" fillId="0" borderId="42" xfId="2" applyFont="1" applyFill="1" applyBorder="1" applyAlignment="1">
      <alignment vertical="center"/>
    </xf>
    <xf numFmtId="0" fontId="30" fillId="0" borderId="42" xfId="2" applyFont="1" applyFill="1" applyBorder="1" applyAlignment="1">
      <alignment horizontal="right" vertical="center"/>
    </xf>
    <xf numFmtId="0" fontId="26" fillId="0" borderId="42" xfId="1" applyFont="1" applyBorder="1" applyAlignment="1">
      <alignment horizontal="center"/>
    </xf>
    <xf numFmtId="0" fontId="26" fillId="0" borderId="42" xfId="1" applyFont="1" applyFill="1" applyBorder="1" applyAlignment="1">
      <alignment horizontal="left"/>
    </xf>
    <xf numFmtId="0" fontId="28" fillId="0" borderId="42" xfId="1" applyFont="1" applyBorder="1" applyAlignment="1">
      <alignment horizontal="center"/>
    </xf>
    <xf numFmtId="0" fontId="31" fillId="0" borderId="42" xfId="1" applyFont="1" applyFill="1" applyBorder="1" applyAlignment="1"/>
    <xf numFmtId="0" fontId="32" fillId="12" borderId="42" xfId="1" applyFont="1" applyFill="1" applyBorder="1" applyAlignment="1">
      <alignment horizontal="center"/>
    </xf>
    <xf numFmtId="0" fontId="33" fillId="0" borderId="42" xfId="2" applyFont="1" applyFill="1" applyBorder="1" applyAlignment="1">
      <alignment vertical="center"/>
    </xf>
    <xf numFmtId="0" fontId="26" fillId="0" borderId="42" xfId="1" applyFont="1" applyFill="1" applyBorder="1"/>
    <xf numFmtId="0" fontId="26" fillId="0" borderId="42" xfId="1" applyFont="1" applyBorder="1" applyAlignment="1">
      <alignment horizontal="left"/>
    </xf>
    <xf numFmtId="0" fontId="29" fillId="10" borderId="0" xfId="3" applyFill="1" applyBorder="1" applyAlignment="1" applyProtection="1">
      <alignment vertical="center"/>
      <protection hidden="1"/>
    </xf>
    <xf numFmtId="0" fontId="11" fillId="8" borderId="0" xfId="0" applyFont="1" applyFill="1" applyBorder="1" applyAlignment="1" applyProtection="1">
      <alignment horizontal="left" wrapText="1"/>
      <protection hidden="1"/>
    </xf>
    <xf numFmtId="0" fontId="0" fillId="0" borderId="0" xfId="0" applyFill="1" applyBorder="1" applyAlignment="1">
      <alignment horizontal="left"/>
    </xf>
    <xf numFmtId="0" fontId="0" fillId="9" borderId="4" xfId="0" applyFill="1" applyBorder="1" applyAlignment="1" applyProtection="1">
      <alignment horizontal="right"/>
      <protection locked="0" hidden="1"/>
    </xf>
    <xf numFmtId="0" fontId="0" fillId="8" borderId="5" xfId="0" applyFill="1" applyBorder="1" applyAlignment="1" applyProtection="1">
      <alignment horizontal="center"/>
      <protection hidden="1"/>
    </xf>
    <xf numFmtId="0" fontId="0" fillId="8" borderId="7" xfId="0" applyFill="1" applyBorder="1"/>
    <xf numFmtId="0" fontId="0" fillId="8" borderId="30" xfId="0" applyFill="1" applyBorder="1"/>
    <xf numFmtId="0" fontId="0" fillId="0" borderId="29" xfId="0" applyBorder="1" applyAlignment="1">
      <alignment horizontal="right"/>
    </xf>
    <xf numFmtId="0" fontId="0" fillId="8" borderId="3" xfId="0" applyFill="1" applyBorder="1" applyAlignment="1" applyProtection="1">
      <alignment horizontal="right"/>
      <protection hidden="1"/>
    </xf>
    <xf numFmtId="0" fontId="0" fillId="6" borderId="11" xfId="0" applyFill="1" applyBorder="1" applyAlignment="1">
      <alignment horizontal="right"/>
    </xf>
    <xf numFmtId="0" fontId="22" fillId="0" borderId="8" xfId="0" applyFont="1" applyBorder="1" applyAlignment="1">
      <alignment horizontal="left"/>
    </xf>
    <xf numFmtId="0" fontId="20" fillId="0" borderId="8" xfId="0" applyFont="1" applyBorder="1" applyAlignment="1">
      <alignment horizontal="left"/>
    </xf>
    <xf numFmtId="0" fontId="0" fillId="0" borderId="6" xfId="0" applyBorder="1" applyAlignment="1">
      <alignment horizontal="left"/>
    </xf>
    <xf numFmtId="0" fontId="0" fillId="5" borderId="0" xfId="0" applyFill="1" applyBorder="1" applyAlignment="1">
      <alignment horizontal="right"/>
    </xf>
    <xf numFmtId="0" fontId="0" fillId="0" borderId="7" xfId="0" applyBorder="1" applyAlignment="1">
      <alignment horizontal="left"/>
    </xf>
    <xf numFmtId="0" fontId="0" fillId="0" borderId="9" xfId="0" applyFill="1" applyBorder="1" applyAlignment="1">
      <alignment horizontal="left"/>
    </xf>
    <xf numFmtId="0" fontId="0" fillId="0" borderId="10" xfId="0" applyBorder="1"/>
    <xf numFmtId="165" fontId="0" fillId="6" borderId="11" xfId="0" applyNumberFormat="1" applyFill="1" applyBorder="1" applyAlignment="1">
      <alignment horizontal="right"/>
    </xf>
    <xf numFmtId="0" fontId="0" fillId="0" borderId="12" xfId="0" applyFill="1" applyBorder="1" applyAlignment="1">
      <alignment horizontal="left"/>
    </xf>
    <xf numFmtId="0" fontId="0" fillId="8" borderId="24" xfId="0" applyFill="1" applyBorder="1" applyAlignment="1" applyProtection="1">
      <alignment horizontal="right"/>
      <protection hidden="1"/>
    </xf>
    <xf numFmtId="0" fontId="0" fillId="0" borderId="0" xfId="0" applyBorder="1"/>
    <xf numFmtId="0" fontId="0" fillId="0" borderId="26" xfId="0" applyFill="1" applyBorder="1" applyAlignment="1">
      <alignment horizontal="left"/>
    </xf>
    <xf numFmtId="0" fontId="0" fillId="5" borderId="43" xfId="0" applyFill="1" applyBorder="1" applyAlignment="1">
      <alignment horizontal="right"/>
    </xf>
    <xf numFmtId="0" fontId="1" fillId="0" borderId="9" xfId="0" applyFont="1" applyFill="1" applyBorder="1" applyAlignment="1">
      <alignment horizontal="left"/>
    </xf>
    <xf numFmtId="0" fontId="1" fillId="0" borderId="44" xfId="0" applyFont="1" applyFill="1" applyBorder="1" applyAlignment="1">
      <alignment horizontal="left"/>
    </xf>
    <xf numFmtId="0" fontId="1" fillId="0" borderId="12" xfId="0" applyFont="1" applyFill="1" applyBorder="1" applyAlignment="1">
      <alignment horizontal="left"/>
    </xf>
    <xf numFmtId="0" fontId="0" fillId="0" borderId="0" xfId="0" applyBorder="1" applyAlignment="1">
      <alignment horizontal="right"/>
    </xf>
    <xf numFmtId="0" fontId="1" fillId="0" borderId="0" xfId="0" applyFont="1" applyFill="1" applyBorder="1" applyAlignment="1">
      <alignment horizontal="left"/>
    </xf>
    <xf numFmtId="0" fontId="20" fillId="8" borderId="0" xfId="0" applyFont="1" applyFill="1" applyBorder="1" applyAlignment="1" applyProtection="1">
      <alignment horizontal="right"/>
      <protection hidden="1"/>
    </xf>
    <xf numFmtId="0" fontId="0" fillId="0" borderId="29" xfId="0" applyBorder="1" applyAlignment="1">
      <alignment horizontal="left"/>
    </xf>
    <xf numFmtId="0" fontId="0" fillId="0" borderId="29" xfId="0" applyFill="1" applyBorder="1" applyAlignment="1" applyProtection="1">
      <alignment horizontal="right"/>
      <protection hidden="1"/>
    </xf>
    <xf numFmtId="0" fontId="0" fillId="8" borderId="7" xfId="0" applyFill="1" applyBorder="1" applyAlignment="1" applyProtection="1">
      <alignment vertical="center"/>
      <protection hidden="1"/>
    </xf>
    <xf numFmtId="0" fontId="0" fillId="8" borderId="30" xfId="0" applyFill="1" applyBorder="1" applyAlignment="1" applyProtection="1">
      <alignment vertical="center"/>
      <protection hidden="1"/>
    </xf>
    <xf numFmtId="0" fontId="0" fillId="8" borderId="5" xfId="0" applyFill="1" applyBorder="1" applyAlignment="1" applyProtection="1">
      <alignment vertical="center"/>
      <protection hidden="1"/>
    </xf>
    <xf numFmtId="2" fontId="0" fillId="6" borderId="11" xfId="0" applyNumberFormat="1" applyFill="1" applyBorder="1" applyAlignment="1">
      <alignment horizontal="right"/>
    </xf>
    <xf numFmtId="2" fontId="0" fillId="8" borderId="4" xfId="0" applyNumberFormat="1" applyFill="1" applyBorder="1" applyProtection="1">
      <protection hidden="1"/>
    </xf>
    <xf numFmtId="0" fontId="20" fillId="0" borderId="0" xfId="0" applyFont="1"/>
    <xf numFmtId="165" fontId="0" fillId="0" borderId="0" xfId="0" applyNumberFormat="1" applyFill="1" applyBorder="1" applyProtection="1">
      <protection hidden="1"/>
    </xf>
    <xf numFmtId="165" fontId="0" fillId="8" borderId="27" xfId="0" applyNumberFormat="1" applyFill="1" applyBorder="1" applyProtection="1">
      <protection hidden="1"/>
    </xf>
    <xf numFmtId="0" fontId="0" fillId="0" borderId="0" xfId="0" applyFill="1" applyBorder="1" applyAlignment="1">
      <alignment horizontal="right"/>
    </xf>
    <xf numFmtId="0" fontId="0" fillId="0" borderId="30" xfId="0" applyBorder="1" applyAlignment="1">
      <alignment horizontal="left"/>
    </xf>
    <xf numFmtId="0" fontId="0" fillId="0" borderId="38" xfId="0" applyBorder="1" applyAlignment="1">
      <alignment horizontal="left"/>
    </xf>
    <xf numFmtId="0" fontId="0" fillId="6" borderId="37" xfId="0" applyFill="1" applyBorder="1" applyAlignment="1">
      <alignment horizontal="right"/>
    </xf>
    <xf numFmtId="0" fontId="1" fillId="0" borderId="39" xfId="0" applyFont="1" applyFill="1" applyBorder="1" applyAlignment="1">
      <alignment horizontal="left"/>
    </xf>
    <xf numFmtId="0" fontId="0" fillId="8" borderId="0" xfId="0" applyFill="1" applyBorder="1" applyAlignment="1" applyProtection="1">
      <alignment horizontal="left"/>
      <protection hidden="1"/>
    </xf>
    <xf numFmtId="0" fontId="39" fillId="8" borderId="0" xfId="3" applyFont="1" applyFill="1" applyBorder="1" applyAlignment="1">
      <alignment vertical="center"/>
    </xf>
    <xf numFmtId="0" fontId="39" fillId="8" borderId="0" xfId="3" applyFont="1" applyFill="1" applyBorder="1" applyAlignment="1" applyProtection="1">
      <alignment vertical="center"/>
    </xf>
    <xf numFmtId="0" fontId="39" fillId="8" borderId="0" xfId="3" applyFont="1" applyFill="1" applyBorder="1" applyAlignment="1">
      <alignment horizontal="left" vertical="center" indent="4"/>
    </xf>
    <xf numFmtId="0" fontId="0" fillId="8" borderId="0" xfId="0" applyFill="1" applyBorder="1" applyAlignment="1" applyProtection="1">
      <alignment horizontal="left" indent="4"/>
      <protection hidden="1"/>
    </xf>
    <xf numFmtId="164" fontId="0" fillId="9" borderId="0" xfId="0" applyNumberFormat="1" applyFill="1" applyBorder="1" applyProtection="1">
      <protection locked="0" hidden="1"/>
    </xf>
    <xf numFmtId="0" fontId="7" fillId="8" borderId="0" xfId="0" applyFont="1" applyFill="1" applyBorder="1" applyAlignment="1" applyProtection="1">
      <alignment horizontal="center" vertical="center"/>
      <protection hidden="1"/>
    </xf>
    <xf numFmtId="0" fontId="7" fillId="9" borderId="0" xfId="0" applyFont="1" applyFill="1" applyBorder="1" applyAlignment="1" applyProtection="1">
      <alignment horizontal="center" vertical="center"/>
      <protection locked="0" hidden="1"/>
    </xf>
    <xf numFmtId="0" fontId="7" fillId="9" borderId="7" xfId="0" applyFont="1" applyFill="1" applyBorder="1" applyAlignment="1" applyProtection="1">
      <alignment horizontal="center" vertical="center"/>
      <protection locked="0" hidden="1"/>
    </xf>
    <xf numFmtId="0" fontId="0" fillId="5" borderId="24" xfId="0" applyFill="1" applyBorder="1" applyAlignment="1" applyProtection="1">
      <alignment horizontal="right" vertical="center"/>
      <protection hidden="1"/>
    </xf>
    <xf numFmtId="0" fontId="0" fillId="5" borderId="26" xfId="0" applyFill="1" applyBorder="1" applyAlignment="1" applyProtection="1">
      <alignment horizontal="right" vertical="center"/>
      <protection hidden="1"/>
    </xf>
    <xf numFmtId="0" fontId="11" fillId="8" borderId="0" xfId="0" applyFont="1" applyFill="1" applyBorder="1" applyAlignment="1" applyProtection="1">
      <alignment horizontal="left"/>
      <protection hidden="1"/>
    </xf>
    <xf numFmtId="0" fontId="7" fillId="8" borderId="24" xfId="0" applyFont="1" applyFill="1" applyBorder="1" applyAlignment="1" applyProtection="1">
      <alignment horizontal="center"/>
      <protection hidden="1"/>
    </xf>
    <xf numFmtId="0" fontId="7" fillId="8" borderId="25" xfId="0" applyFont="1" applyFill="1" applyBorder="1" applyAlignment="1" applyProtection="1">
      <alignment horizontal="center"/>
      <protection hidden="1"/>
    </xf>
    <xf numFmtId="0" fontId="7" fillId="8" borderId="26" xfId="0" applyFont="1" applyFill="1" applyBorder="1" applyAlignment="1" applyProtection="1">
      <alignment horizontal="center"/>
      <protection hidden="1"/>
    </xf>
    <xf numFmtId="0" fontId="7" fillId="9" borderId="0" xfId="0" applyFont="1" applyFill="1" applyBorder="1" applyAlignment="1" applyProtection="1">
      <alignment horizontal="center"/>
      <protection locked="0" hidden="1"/>
    </xf>
    <xf numFmtId="0" fontId="7" fillId="9" borderId="7" xfId="0" applyFont="1" applyFill="1" applyBorder="1" applyAlignment="1" applyProtection="1">
      <alignment horizontal="center"/>
      <protection locked="0" hidden="1"/>
    </xf>
    <xf numFmtId="0" fontId="7" fillId="8" borderId="3" xfId="0" applyFont="1" applyFill="1" applyBorder="1" applyAlignment="1" applyProtection="1">
      <alignment horizontal="center"/>
      <protection hidden="1"/>
    </xf>
    <xf numFmtId="0" fontId="7" fillId="8" borderId="4" xfId="0" applyFont="1" applyFill="1" applyBorder="1" applyAlignment="1" applyProtection="1">
      <alignment horizontal="center"/>
      <protection hidden="1"/>
    </xf>
    <xf numFmtId="0" fontId="7" fillId="8" borderId="5" xfId="0" applyFont="1" applyFill="1" applyBorder="1" applyAlignment="1" applyProtection="1">
      <alignment horizontal="center"/>
      <protection hidden="1"/>
    </xf>
    <xf numFmtId="0" fontId="7" fillId="9" borderId="25" xfId="0" applyFont="1" applyFill="1" applyBorder="1" applyAlignment="1" applyProtection="1">
      <alignment horizontal="center"/>
      <protection locked="0" hidden="1"/>
    </xf>
    <xf numFmtId="0" fontId="7" fillId="9" borderId="26" xfId="0" applyFont="1" applyFill="1" applyBorder="1" applyAlignment="1" applyProtection="1">
      <alignment horizontal="center"/>
      <protection locked="0" hidden="1"/>
    </xf>
    <xf numFmtId="0" fontId="13" fillId="8" borderId="0" xfId="0" applyFont="1" applyFill="1" applyBorder="1" applyAlignment="1" applyProtection="1">
      <alignment horizontal="center" vertical="center"/>
      <protection hidden="1"/>
    </xf>
    <xf numFmtId="0" fontId="10" fillId="3" borderId="3" xfId="0" applyFont="1" applyFill="1" applyBorder="1" applyAlignment="1" applyProtection="1">
      <alignment horizontal="left" vertical="center"/>
      <protection hidden="1"/>
    </xf>
    <xf numFmtId="0" fontId="10" fillId="3" borderId="4" xfId="0" applyFont="1" applyFill="1" applyBorder="1" applyAlignment="1" applyProtection="1">
      <alignment horizontal="left" vertical="center"/>
      <protection hidden="1"/>
    </xf>
    <xf numFmtId="0" fontId="10" fillId="3" borderId="6" xfId="0" applyFont="1" applyFill="1" applyBorder="1" applyAlignment="1" applyProtection="1">
      <alignment horizontal="left" vertical="center"/>
      <protection hidden="1"/>
    </xf>
    <xf numFmtId="0" fontId="10" fillId="3" borderId="0" xfId="0" applyFont="1" applyFill="1" applyBorder="1" applyAlignment="1" applyProtection="1">
      <alignment horizontal="left" vertical="center"/>
      <protection hidden="1"/>
    </xf>
    <xf numFmtId="0" fontId="5" fillId="8" borderId="0" xfId="0" applyFont="1" applyFill="1" applyBorder="1" applyAlignment="1" applyProtection="1">
      <alignment horizontal="center"/>
      <protection hidden="1"/>
    </xf>
    <xf numFmtId="0" fontId="0" fillId="0" borderId="27" xfId="0" applyFont="1" applyFill="1" applyBorder="1" applyAlignment="1" applyProtection="1">
      <alignment horizontal="center"/>
      <protection hidden="1"/>
    </xf>
    <xf numFmtId="0" fontId="0" fillId="0" borderId="30" xfId="0" applyFont="1" applyFill="1" applyBorder="1" applyAlignment="1" applyProtection="1">
      <alignment horizontal="center"/>
      <protection hidden="1"/>
    </xf>
    <xf numFmtId="0" fontId="39" fillId="8" borderId="0" xfId="3" applyFont="1" applyFill="1" applyBorder="1" applyAlignment="1" applyProtection="1">
      <alignment horizontal="left" vertical="center" indent="4"/>
      <protection locked="0"/>
    </xf>
    <xf numFmtId="0" fontId="7" fillId="8" borderId="6" xfId="0" applyFont="1" applyFill="1" applyBorder="1" applyAlignment="1" applyProtection="1">
      <alignment horizontal="center"/>
      <protection hidden="1"/>
    </xf>
    <xf numFmtId="0" fontId="7" fillId="8" borderId="0" xfId="0" applyFont="1" applyFill="1" applyBorder="1" applyAlignment="1" applyProtection="1">
      <alignment horizontal="center"/>
      <protection hidden="1"/>
    </xf>
    <xf numFmtId="0" fontId="7" fillId="8" borderId="7" xfId="0" applyFont="1" applyFill="1" applyBorder="1" applyAlignment="1" applyProtection="1">
      <alignment horizontal="center"/>
      <protection hidden="1"/>
    </xf>
    <xf numFmtId="0" fontId="0" fillId="8" borderId="4" xfId="0" applyFont="1" applyFill="1" applyBorder="1" applyAlignment="1" applyProtection="1">
      <alignment horizontal="center"/>
      <protection hidden="1"/>
    </xf>
    <xf numFmtId="0" fontId="0" fillId="8" borderId="5" xfId="0" applyFont="1" applyFill="1" applyBorder="1" applyAlignment="1" applyProtection="1">
      <alignment horizontal="center"/>
      <protection hidden="1"/>
    </xf>
    <xf numFmtId="0" fontId="0" fillId="8" borderId="27" xfId="0" applyFont="1" applyFill="1" applyBorder="1" applyAlignment="1" applyProtection="1">
      <alignment horizontal="center"/>
      <protection hidden="1"/>
    </xf>
    <xf numFmtId="0" fontId="0" fillId="8" borderId="30" xfId="0" applyFont="1" applyFill="1" applyBorder="1" applyAlignment="1" applyProtection="1">
      <alignment horizontal="center"/>
      <protection hidden="1"/>
    </xf>
    <xf numFmtId="0" fontId="11" fillId="8" borderId="0" xfId="0" applyFont="1" applyFill="1" applyBorder="1" applyAlignment="1" applyProtection="1">
      <alignment horizontal="left" wrapText="1"/>
      <protection hidden="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16" xfId="0" applyBorder="1" applyAlignment="1">
      <alignment horizontal="center"/>
    </xf>
    <xf numFmtId="0" fontId="0" fillId="0" borderId="41" xfId="0" applyBorder="1" applyAlignment="1">
      <alignment horizontal="center"/>
    </xf>
    <xf numFmtId="0" fontId="0" fillId="0" borderId="17"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center"/>
    </xf>
    <xf numFmtId="0" fontId="0" fillId="0" borderId="1"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36" xfId="0" applyBorder="1" applyAlignment="1">
      <alignment horizontal="center"/>
    </xf>
    <xf numFmtId="0" fontId="0" fillId="0" borderId="28" xfId="0" applyBorder="1" applyAlignment="1">
      <alignment horizontal="center"/>
    </xf>
    <xf numFmtId="0" fontId="0" fillId="0" borderId="31" xfId="0" applyBorder="1" applyAlignment="1">
      <alignment horizontal="center"/>
    </xf>
    <xf numFmtId="0" fontId="0" fillId="0" borderId="20" xfId="0" applyBorder="1" applyAlignment="1">
      <alignment horizontal="center"/>
    </xf>
    <xf numFmtId="0" fontId="0" fillId="0" borderId="2" xfId="0" applyBorder="1" applyAlignment="1">
      <alignment horizontal="center"/>
    </xf>
    <xf numFmtId="0" fontId="0" fillId="0" borderId="0" xfId="0" applyAlignment="1">
      <alignment horizontal="center" vertical="center"/>
    </xf>
    <xf numFmtId="0" fontId="0" fillId="0" borderId="0" xfId="0" applyBorder="1" applyAlignment="1">
      <alignment horizontal="center" vertical="center"/>
    </xf>
    <xf numFmtId="0" fontId="0" fillId="0" borderId="3" xfId="0" applyFill="1" applyBorder="1" applyAlignment="1">
      <alignment horizontal="center"/>
    </xf>
    <xf numFmtId="0" fontId="0" fillId="0" borderId="4" xfId="0" applyFill="1" applyBorder="1" applyAlignment="1">
      <alignment horizontal="center"/>
    </xf>
    <xf numFmtId="0" fontId="0" fillId="0" borderId="5" xfId="0" applyFill="1" applyBorder="1" applyAlignment="1">
      <alignment horizontal="center"/>
    </xf>
    <xf numFmtId="0" fontId="0" fillId="0" borderId="0" xfId="0" applyFill="1" applyBorder="1" applyAlignment="1">
      <alignment horizontal="center"/>
    </xf>
    <xf numFmtId="0" fontId="0" fillId="0" borderId="0" xfId="0" applyFill="1"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2" borderId="29" xfId="0" applyFill="1" applyBorder="1" applyAlignment="1">
      <alignment horizontal="center"/>
    </xf>
    <xf numFmtId="0" fontId="0" fillId="2" borderId="27" xfId="0" applyFill="1" applyBorder="1" applyAlignment="1">
      <alignment horizontal="center"/>
    </xf>
    <xf numFmtId="0" fontId="0" fillId="2" borderId="30" xfId="0" applyFill="1" applyBorder="1" applyAlignment="1">
      <alignment horizontal="center"/>
    </xf>
    <xf numFmtId="0" fontId="0" fillId="4" borderId="3" xfId="0" applyFill="1" applyBorder="1" applyAlignment="1">
      <alignment horizontal="center"/>
    </xf>
    <xf numFmtId="0" fontId="0" fillId="4" borderId="4" xfId="0" applyFill="1" applyBorder="1" applyAlignment="1">
      <alignment horizontal="center"/>
    </xf>
    <xf numFmtId="0" fontId="0" fillId="0" borderId="6" xfId="0" applyFill="1" applyBorder="1" applyAlignment="1">
      <alignment horizont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5" xfId="0" applyFill="1" applyBorder="1" applyAlignment="1">
      <alignment horizontal="center" vertical="center"/>
    </xf>
    <xf numFmtId="0" fontId="0" fillId="0" borderId="29" xfId="0" applyBorder="1" applyAlignment="1">
      <alignment horizontal="center"/>
    </xf>
    <xf numFmtId="0" fontId="0" fillId="0" borderId="27"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28" fillId="0" borderId="42" xfId="1" applyFont="1" applyBorder="1" applyAlignment="1">
      <alignment wrapText="1"/>
    </xf>
    <xf numFmtId="0" fontId="26" fillId="0" borderId="42" xfId="1" applyFont="1" applyBorder="1" applyAlignment="1">
      <alignment horizontal="center"/>
    </xf>
    <xf numFmtId="0" fontId="26" fillId="11" borderId="42" xfId="1" applyFont="1" applyFill="1" applyBorder="1" applyAlignment="1">
      <alignment horizontal="center"/>
    </xf>
    <xf numFmtId="0" fontId="32" fillId="12" borderId="42" xfId="1" applyFont="1" applyFill="1" applyBorder="1" applyAlignment="1">
      <alignment horizontal="left"/>
    </xf>
    <xf numFmtId="0" fontId="28" fillId="0" borderId="42" xfId="1" applyFont="1" applyBorder="1" applyAlignment="1">
      <alignment horizontal="left"/>
    </xf>
  </cellXfs>
  <cellStyles count="4">
    <cellStyle name="Hyperlink" xfId="3" builtinId="8"/>
    <cellStyle name="Hyperlink 2" xfId="2" xr:uid="{CF89DE2A-8666-4999-B46D-FE4B96D59DA6}"/>
    <cellStyle name="Normal" xfId="0" builtinId="0"/>
    <cellStyle name="Normal 4" xfId="1" xr:uid="{D510726C-F3BB-4C04-87BE-C05CAEFB21F0}"/>
  </cellStyles>
  <dxfs count="24">
    <dxf>
      <font>
        <strike/>
      </font>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strike/>
      </font>
      <fill>
        <patternFill>
          <bgColor theme="0" tint="-0.24994659260841701"/>
        </patternFill>
      </fill>
    </dxf>
    <dxf>
      <font>
        <strike/>
      </font>
      <fill>
        <patternFill>
          <bgColor theme="0" tint="-0.24994659260841701"/>
        </patternFill>
      </fill>
    </dxf>
    <dxf>
      <font>
        <strike/>
      </font>
      <fill>
        <patternFill>
          <bgColor theme="0" tint="-0.14996795556505021"/>
        </patternFill>
      </fill>
    </dxf>
    <dxf>
      <font>
        <strike/>
      </font>
      <fill>
        <patternFill>
          <bgColor theme="0" tint="-0.24994659260841701"/>
        </patternFill>
      </fill>
    </dxf>
    <dxf>
      <font>
        <color auto="1"/>
      </font>
      <fill>
        <patternFill>
          <bgColor rgb="FFFF0000"/>
        </patternFill>
      </fill>
    </dxf>
    <dxf>
      <font>
        <strike val="0"/>
        <color auto="1"/>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Inner Current Loop  </a:t>
            </a:r>
            <a:endParaRPr lang="en-US"/>
          </a:p>
        </c:rich>
      </c:tx>
      <c:overlay val="0"/>
    </c:title>
    <c:autoTitleDeleted val="0"/>
    <c:plotArea>
      <c:layout/>
      <c:scatterChart>
        <c:scatterStyle val="lineMarker"/>
        <c:varyColors val="0"/>
        <c:ser>
          <c:idx val="0"/>
          <c:order val="0"/>
          <c:tx>
            <c:v>Gain</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Compensation!$K$8:$K$62</c:f>
              <c:numCache>
                <c:formatCode>General</c:formatCode>
                <c:ptCount val="55"/>
                <c:pt idx="0">
                  <c:v>85.266311764386217</c:v>
                </c:pt>
                <c:pt idx="1">
                  <c:v>83.044083474142084</c:v>
                </c:pt>
                <c:pt idx="2">
                  <c:v>80.821851129960464</c:v>
                </c:pt>
                <c:pt idx="3">
                  <c:v>78.599612023601551</c:v>
                </c:pt>
                <c:pt idx="4">
                  <c:v>76.37736163780238</c:v>
                </c:pt>
                <c:pt idx="5">
                  <c:v>74.155092438296691</c:v>
                </c:pt>
                <c:pt idx="6">
                  <c:v>71.932791859904469</c:v>
                </c:pt>
                <c:pt idx="7">
                  <c:v>69.710438950246512</c:v>
                </c:pt>
                <c:pt idx="8">
                  <c:v>67.487998779798119</c:v>
                </c:pt>
                <c:pt idx="9">
                  <c:v>65.265413141409169</c:v>
                </c:pt>
                <c:pt idx="10">
                  <c:v>63.042585103140837</c:v>
                </c:pt>
                <c:pt idx="11">
                  <c:v>60.819353426629057</c:v>
                </c:pt>
                <c:pt idx="12">
                  <c:v>58.595450408672164</c:v>
                </c:pt>
                <c:pt idx="13">
                  <c:v>56.370432975784198</c:v>
                </c:pt>
                <c:pt idx="14">
                  <c:v>54.143571635817771</c:v>
                </c:pt>
                <c:pt idx="15">
                  <c:v>51.913675816243845</c:v>
                </c:pt>
                <c:pt idx="16">
                  <c:v>49.678830801037456</c:v>
                </c:pt>
                <c:pt idx="17">
                  <c:v>47.436032578819088</c:v>
                </c:pt>
                <c:pt idx="18">
                  <c:v>45.180762081266906</c:v>
                </c:pt>
                <c:pt idx="19">
                  <c:v>42.906697426583584</c:v>
                </c:pt>
                <c:pt idx="20">
                  <c:v>40.606083169988153</c:v>
                </c:pt>
                <c:pt idx="21">
                  <c:v>38.271655720712282</c:v>
                </c:pt>
                <c:pt idx="22">
                  <c:v>35.900803738885109</c:v>
                </c:pt>
                <c:pt idx="23">
                  <c:v>33.50063236327653</c:v>
                </c:pt>
                <c:pt idx="24">
                  <c:v>31.089361782414553</c:v>
                </c:pt>
                <c:pt idx="25">
                  <c:v>28.690107367987828</c:v>
                </c:pt>
                <c:pt idx="26">
                  <c:v>26.320558954080724</c:v>
                </c:pt>
                <c:pt idx="27">
                  <c:v>23.987123044003052</c:v>
                </c:pt>
                <c:pt idx="28">
                  <c:v>21.686604559063419</c:v>
                </c:pt>
                <c:pt idx="29">
                  <c:v>19.411252367661092</c:v>
                </c:pt>
                <c:pt idx="30">
                  <c:v>17.152711641213156</c:v>
                </c:pt>
                <c:pt idx="31">
                  <c:v>14.903678289177957</c:v>
                </c:pt>
                <c:pt idx="32">
                  <c:v>12.657936563072683</c:v>
                </c:pt>
                <c:pt idx="33">
                  <c:v>10.409598869966795</c:v>
                </c:pt>
                <c:pt idx="34">
                  <c:v>8.1519473145344143</c:v>
                </c:pt>
                <c:pt idx="35">
                  <c:v>5.8759283198332906</c:v>
                </c:pt>
                <c:pt idx="36">
                  <c:v>3.5681880341988026</c:v>
                </c:pt>
                <c:pt idx="37">
                  <c:v>1.2085691525473823</c:v>
                </c:pt>
                <c:pt idx="38">
                  <c:v>-1.2326712676954403</c:v>
                </c:pt>
                <c:pt idx="39">
                  <c:v>-3.7968059104351903</c:v>
                </c:pt>
                <c:pt idx="40">
                  <c:v>-6.535258386104644</c:v>
                </c:pt>
                <c:pt idx="41">
                  <c:v>-9.5016672243803058</c:v>
                </c:pt>
                <c:pt idx="42">
                  <c:v>-12.73678751583806</c:v>
                </c:pt>
                <c:pt idx="43">
                  <c:v>-16.252690462980489</c:v>
                </c:pt>
                <c:pt idx="44">
                  <c:v>-20.027410127922515</c:v>
                </c:pt>
                <c:pt idx="45">
                  <c:v>-24.014489946313603</c:v>
                </c:pt>
                <c:pt idx="46">
                  <c:v>-28.159716978727015</c:v>
                </c:pt>
                <c:pt idx="47">
                  <c:v>-32.414373836090377</c:v>
                </c:pt>
                <c:pt idx="48">
                  <c:v>-36.740935252500847</c:v>
                </c:pt>
                <c:pt idx="49">
                  <c:v>-41.113145337949753</c:v>
                </c:pt>
                <c:pt idx="50">
                  <c:v>-45.513703262566551</c:v>
                </c:pt>
                <c:pt idx="51">
                  <c:v>-49.931624209093442</c:v>
                </c:pt>
                <c:pt idx="52">
                  <c:v>-54.36009021910948</c:v>
                </c:pt>
                <c:pt idx="53">
                  <c:v>-58.794927581323691</c:v>
                </c:pt>
                <c:pt idx="54">
                  <c:v>-63.233602525267003</c:v>
                </c:pt>
              </c:numCache>
            </c:numRef>
          </c:yVal>
          <c:smooth val="0"/>
          <c:extLst>
            <c:ext xmlns:c16="http://schemas.microsoft.com/office/drawing/2014/chart" uri="{C3380CC4-5D6E-409C-BE32-E72D297353CC}">
              <c16:uniqueId val="{00000000-8CC5-45FF-B296-BE658513BD7D}"/>
            </c:ext>
          </c:extLst>
        </c:ser>
        <c:ser>
          <c:idx val="2"/>
          <c:order val="2"/>
          <c:tx>
            <c:v>FPPlant</c:v>
          </c:tx>
          <c:spPr>
            <a:ln>
              <a:solidFill>
                <a:schemeClr val="tx1"/>
              </a:solidFill>
            </a:ln>
          </c:spPr>
          <c:marker>
            <c:symbol val="x"/>
            <c:size val="9"/>
            <c:spPr>
              <a:noFill/>
              <a:ln w="31750">
                <a:solidFill>
                  <a:srgbClr val="FF0000"/>
                </a:solidFill>
              </a:ln>
            </c:spPr>
          </c:marker>
          <c:dPt>
            <c:idx val="0"/>
            <c:marker>
              <c:symbol val="x"/>
              <c:size val="12"/>
            </c:marker>
            <c:bubble3D val="0"/>
            <c:spPr>
              <a:ln w="25400">
                <a:solidFill>
                  <a:schemeClr val="tx1"/>
                </a:solidFill>
              </a:ln>
            </c:spPr>
            <c:extLst>
              <c:ext xmlns:c16="http://schemas.microsoft.com/office/drawing/2014/chart" uri="{C3380CC4-5D6E-409C-BE32-E72D297353CC}">
                <c16:uniqueId val="{00000002-8CC5-45FF-B296-BE658513BD7D}"/>
              </c:ext>
            </c:extLst>
          </c:dPt>
          <c:dLbls>
            <c:dLbl>
              <c:idx val="0"/>
              <c:tx>
                <c:rich>
                  <a:bodyPr/>
                  <a:lstStyle/>
                  <a:p>
                    <a:r>
                      <a:rPr lang="en-US" sz="1400" b="1"/>
                      <a:t>F</a:t>
                    </a:r>
                    <a:r>
                      <a:rPr lang="en-US" sz="1400" b="1" baseline="-25000"/>
                      <a:t>Pplant</a:t>
                    </a:r>
                  </a:p>
                </c:rich>
              </c:tx>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CC5-45FF-B296-BE658513BD7D}"/>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Compensation!$AB$9</c:f>
              <c:numCache>
                <c:formatCode>General</c:formatCode>
                <c:ptCount val="1"/>
                <c:pt idx="0">
                  <c:v>372.49029234273371</c:v>
                </c:pt>
              </c:numCache>
            </c:numRef>
          </c:xVal>
          <c:yVal>
            <c:numRef>
              <c:f>Compensation!$AE$9</c:f>
              <c:numCache>
                <c:formatCode>General</c:formatCode>
                <c:ptCount val="1"/>
                <c:pt idx="0">
                  <c:v>33.163116154534016</c:v>
                </c:pt>
              </c:numCache>
            </c:numRef>
          </c:yVal>
          <c:smooth val="0"/>
          <c:extLst>
            <c:ext xmlns:c16="http://schemas.microsoft.com/office/drawing/2014/chart" uri="{C3380CC4-5D6E-409C-BE32-E72D297353CC}">
              <c16:uniqueId val="{00000003-8CC5-45FF-B296-BE658513BD7D}"/>
            </c:ext>
          </c:extLst>
        </c:ser>
        <c:ser>
          <c:idx val="3"/>
          <c:order val="3"/>
          <c:tx>
            <c:v>Fzcomp</c:v>
          </c:tx>
          <c:marker>
            <c:symbol val="circle"/>
            <c:size val="9"/>
            <c:spPr>
              <a:noFill/>
              <a:ln w="22225">
                <a:solidFill>
                  <a:schemeClr val="tx1"/>
                </a:solidFill>
              </a:ln>
            </c:spPr>
          </c:marker>
          <c:dLbls>
            <c:dLbl>
              <c:idx val="0"/>
              <c:tx>
                <c:rich>
                  <a:bodyPr/>
                  <a:lstStyle/>
                  <a:p>
                    <a:r>
                      <a:rPr lang="en-US" sz="1400" b="1"/>
                      <a:t>F</a:t>
                    </a:r>
                    <a:r>
                      <a:rPr lang="en-US" sz="1400" b="1" baseline="-25000"/>
                      <a:t>Zcomp</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8CC5-45FF-B296-BE658513BD7D}"/>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Compensation!$AB$10</c:f>
              <c:numCache>
                <c:formatCode>General</c:formatCode>
                <c:ptCount val="1"/>
                <c:pt idx="0">
                  <c:v>442.09706414415365</c:v>
                </c:pt>
              </c:numCache>
            </c:numRef>
          </c:xVal>
          <c:yVal>
            <c:numRef>
              <c:f>Compensation!$AE$10</c:f>
              <c:numCache>
                <c:formatCode>General</c:formatCode>
                <c:ptCount val="1"/>
                <c:pt idx="0">
                  <c:v>31.548092369594798</c:v>
                </c:pt>
              </c:numCache>
            </c:numRef>
          </c:yVal>
          <c:smooth val="0"/>
          <c:extLst>
            <c:ext xmlns:c16="http://schemas.microsoft.com/office/drawing/2014/chart" uri="{C3380CC4-5D6E-409C-BE32-E72D297353CC}">
              <c16:uniqueId val="{00000005-8CC5-45FF-B296-BE658513BD7D}"/>
            </c:ext>
          </c:extLst>
        </c:ser>
        <c:ser>
          <c:idx val="4"/>
          <c:order val="4"/>
          <c:tx>
            <c:v>Fpcomp</c:v>
          </c:tx>
          <c:marker>
            <c:symbol val="x"/>
            <c:size val="10"/>
            <c:spPr>
              <a:ln w="25400">
                <a:solidFill>
                  <a:schemeClr val="tx1"/>
                </a:solidFill>
              </a:ln>
            </c:spPr>
          </c:marker>
          <c:dLbls>
            <c:dLbl>
              <c:idx val="0"/>
              <c:tx>
                <c:rich>
                  <a:bodyPr/>
                  <a:lstStyle/>
                  <a:p>
                    <a:r>
                      <a:rPr lang="en-US" sz="1200" b="1"/>
                      <a:t>F</a:t>
                    </a:r>
                    <a:r>
                      <a:rPr lang="en-US" sz="1200" b="1" baseline="-25000"/>
                      <a:t>Pcomp</a:t>
                    </a:r>
                    <a:endParaRPr lang="en-US" b="1" baseline="-25000"/>
                  </a:p>
                </c:rich>
              </c:tx>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8CC5-45FF-B296-BE658513BD7D}"/>
                </c:ext>
              </c:extLst>
            </c:dLbl>
            <c:spPr>
              <a:noFill/>
              <a:ln>
                <a:noFill/>
              </a:ln>
              <a:effectLst/>
            </c:spPr>
            <c:txPr>
              <a:bodyPr/>
              <a:lstStyle/>
              <a:p>
                <a:pPr>
                  <a:defRPr sz="1200"/>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Compensation!$AB$11</c:f>
              <c:numCache>
                <c:formatCode>General</c:formatCode>
                <c:ptCount val="1"/>
                <c:pt idx="0">
                  <c:v>44209.706414415377</c:v>
                </c:pt>
              </c:numCache>
            </c:numRef>
          </c:xVal>
          <c:yVal>
            <c:numRef>
              <c:f>Compensation!$AE$11</c:f>
              <c:numCache>
                <c:formatCode>General</c:formatCode>
                <c:ptCount val="1"/>
                <c:pt idx="0">
                  <c:v>-12.099260441630831</c:v>
                </c:pt>
              </c:numCache>
            </c:numRef>
          </c:yVal>
          <c:smooth val="0"/>
          <c:extLst>
            <c:ext xmlns:c16="http://schemas.microsoft.com/office/drawing/2014/chart" uri="{C3380CC4-5D6E-409C-BE32-E72D297353CC}">
              <c16:uniqueId val="{00000007-8CC5-45FF-B296-BE658513BD7D}"/>
            </c:ext>
          </c:extLst>
        </c:ser>
        <c:dLbls>
          <c:showLegendKey val="0"/>
          <c:showVal val="0"/>
          <c:showCatName val="0"/>
          <c:showSerName val="0"/>
          <c:showPercent val="0"/>
          <c:showBubbleSize val="0"/>
        </c:dLbls>
        <c:axId val="180812800"/>
        <c:axId val="182049408"/>
      </c:scatterChart>
      <c:scatterChart>
        <c:scatterStyle val="lineMarker"/>
        <c:varyColors val="0"/>
        <c:ser>
          <c:idx val="1"/>
          <c:order val="1"/>
          <c:tx>
            <c:v>Phase</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Compensation!$L$8:$L$62</c:f>
              <c:numCache>
                <c:formatCode>General</c:formatCode>
                <c:ptCount val="55"/>
                <c:pt idx="0">
                  <c:v>89.974498798371457</c:v>
                </c:pt>
                <c:pt idx="1">
                  <c:v>89.967064059721878</c:v>
                </c:pt>
                <c:pt idx="2">
                  <c:v>89.957461873438845</c:v>
                </c:pt>
                <c:pt idx="3">
                  <c:v>89.945060491657742</c:v>
                </c:pt>
                <c:pt idx="4">
                  <c:v>89.929044177754278</c:v>
                </c:pt>
                <c:pt idx="5">
                  <c:v>89.908359791990748</c:v>
                </c:pt>
                <c:pt idx="6">
                  <c:v>89.881648066729923</c:v>
                </c:pt>
                <c:pt idx="7">
                  <c:v>89.847155410152325</c:v>
                </c:pt>
                <c:pt idx="8">
                  <c:v>89.802621212761679</c:v>
                </c:pt>
                <c:pt idx="9">
                  <c:v>89.745134914152729</c:v>
                </c:pt>
                <c:pt idx="10">
                  <c:v>89.670957017137084</c:v>
                </c:pt>
                <c:pt idx="11">
                  <c:v>89.57529996617032</c:v>
                </c:pt>
                <c:pt idx="12">
                  <c:v>89.452070884692191</c:v>
                </c:pt>
                <c:pt idx="13">
                  <c:v>89.293594014926555</c:v>
                </c:pt>
                <c:pt idx="14">
                  <c:v>89.090367416912059</c:v>
                </c:pt>
                <c:pt idx="15">
                  <c:v>88.830987454585355</c:v>
                </c:pt>
                <c:pt idx="16">
                  <c:v>88.502532887125795</c:v>
                </c:pt>
                <c:pt idx="17">
                  <c:v>88.091987960520342</c:v>
                </c:pt>
                <c:pt idx="18">
                  <c:v>87.589718177169004</c:v>
                </c:pt>
                <c:pt idx="19">
                  <c:v>86.996396464878671</c:v>
                </c:pt>
                <c:pt idx="20">
                  <c:v>86.334246215927848</c:v>
                </c:pt>
                <c:pt idx="21">
                  <c:v>85.660006507724006</c:v>
                </c:pt>
                <c:pt idx="22">
                  <c:v>85.068977930552137</c:v>
                </c:pt>
                <c:pt idx="23">
                  <c:v>84.672720158266657</c:v>
                </c:pt>
                <c:pt idx="24">
                  <c:v>84.546208022254106</c:v>
                </c:pt>
                <c:pt idx="25">
                  <c:v>84.678232767071393</c:v>
                </c:pt>
                <c:pt idx="26">
                  <c:v>84.972369116345661</c:v>
                </c:pt>
                <c:pt idx="27">
                  <c:v>85.296839094948851</c:v>
                </c:pt>
                <c:pt idx="28">
                  <c:v>85.534989383579088</c:v>
                </c:pt>
                <c:pt idx="29">
                  <c:v>85.604448891651828</c:v>
                </c:pt>
                <c:pt idx="30">
                  <c:v>85.450498999108476</c:v>
                </c:pt>
                <c:pt idx="31">
                  <c:v>85.030973369258788</c:v>
                </c:pt>
                <c:pt idx="32">
                  <c:v>84.302822876845781</c:v>
                </c:pt>
                <c:pt idx="33">
                  <c:v>83.21272969671567</c:v>
                </c:pt>
                <c:pt idx="34">
                  <c:v>81.691129652831009</c:v>
                </c:pt>
                <c:pt idx="35">
                  <c:v>79.649042524837938</c:v>
                </c:pt>
                <c:pt idx="36">
                  <c:v>76.978456391505944</c:v>
                </c:pt>
                <c:pt idx="37">
                  <c:v>73.559049273049368</c:v>
                </c:pt>
                <c:pt idx="38">
                  <c:v>69.27639272000998</c:v>
                </c:pt>
                <c:pt idx="39">
                  <c:v>64.057796769354781</c:v>
                </c:pt>
                <c:pt idx="40">
                  <c:v>57.926845730918032</c:v>
                </c:pt>
                <c:pt idx="41">
                  <c:v>51.060088081403784</c:v>
                </c:pt>
                <c:pt idx="42">
                  <c:v>43.804338343479387</c:v>
                </c:pt>
                <c:pt idx="43">
                  <c:v>36.613579747643506</c:v>
                </c:pt>
                <c:pt idx="44">
                  <c:v>29.920550433321054</c:v>
                </c:pt>
                <c:pt idx="45">
                  <c:v>24.021742287668079</c:v>
                </c:pt>
                <c:pt idx="46">
                  <c:v>19.040550664842915</c:v>
                </c:pt>
                <c:pt idx="47">
                  <c:v>14.961728593576861</c:v>
                </c:pt>
                <c:pt idx="48">
                  <c:v>11.690568064775448</c:v>
                </c:pt>
                <c:pt idx="49">
                  <c:v>9.1022137149905209</c:v>
                </c:pt>
                <c:pt idx="50">
                  <c:v>7.0713953836565828</c:v>
                </c:pt>
                <c:pt idx="51">
                  <c:v>5.4863181057836172</c:v>
                </c:pt>
                <c:pt idx="52">
                  <c:v>4.2530830322168498</c:v>
                </c:pt>
                <c:pt idx="53">
                  <c:v>3.2954420988719764</c:v>
                </c:pt>
                <c:pt idx="54">
                  <c:v>2.5526734725190141</c:v>
                </c:pt>
              </c:numCache>
            </c:numRef>
          </c:yVal>
          <c:smooth val="0"/>
          <c:extLst>
            <c:ext xmlns:c16="http://schemas.microsoft.com/office/drawing/2014/chart" uri="{C3380CC4-5D6E-409C-BE32-E72D297353CC}">
              <c16:uniqueId val="{00000008-8CC5-45FF-B296-BE658513BD7D}"/>
            </c:ext>
          </c:extLst>
        </c:ser>
        <c:dLbls>
          <c:showLegendKey val="0"/>
          <c:showVal val="0"/>
          <c:showCatName val="0"/>
          <c:showSerName val="0"/>
          <c:showPercent val="0"/>
          <c:showBubbleSize val="0"/>
        </c:dLbls>
        <c:axId val="182350592"/>
        <c:axId val="182310016"/>
      </c:scatterChart>
      <c:valAx>
        <c:axId val="180812800"/>
        <c:scaling>
          <c:logBase val="10"/>
          <c:orientation val="minMax"/>
          <c:min val="10"/>
        </c:scaling>
        <c:delete val="0"/>
        <c:axPos val="b"/>
        <c:majorGridlines/>
        <c:minorGridlines/>
        <c:title>
          <c:tx>
            <c:rich>
              <a:bodyPr/>
              <a:lstStyle/>
              <a:p>
                <a:pPr>
                  <a:defRPr/>
                </a:pPr>
                <a:r>
                  <a:rPr lang="en-US"/>
                  <a:t>Frequency</a:t>
                </a:r>
                <a:r>
                  <a:rPr lang="en-US" baseline="0"/>
                  <a:t> (Hz)</a:t>
                </a:r>
                <a:endParaRPr lang="en-US"/>
              </a:p>
            </c:rich>
          </c:tx>
          <c:overlay val="0"/>
        </c:title>
        <c:numFmt formatCode="General" sourceLinked="1"/>
        <c:majorTickMark val="out"/>
        <c:minorTickMark val="cross"/>
        <c:tickLblPos val="low"/>
        <c:crossAx val="182049408"/>
        <c:crosses val="autoZero"/>
        <c:crossBetween val="midCat"/>
      </c:valAx>
      <c:valAx>
        <c:axId val="182049408"/>
        <c:scaling>
          <c:orientation val="minMax"/>
          <c:max val="60"/>
          <c:min val="-40"/>
        </c:scaling>
        <c:delete val="0"/>
        <c:axPos val="l"/>
        <c:majorGridlines/>
        <c:title>
          <c:tx>
            <c:rich>
              <a:bodyPr rot="-5400000" vert="horz"/>
              <a:lstStyle/>
              <a:p>
                <a:pPr>
                  <a:defRPr/>
                </a:pPr>
                <a:r>
                  <a:rPr lang="en-US"/>
                  <a:t>Loop Gain (dB)</a:t>
                </a:r>
              </a:p>
            </c:rich>
          </c:tx>
          <c:overlay val="0"/>
        </c:title>
        <c:numFmt formatCode="General" sourceLinked="1"/>
        <c:majorTickMark val="out"/>
        <c:minorTickMark val="none"/>
        <c:tickLblPos val="nextTo"/>
        <c:crossAx val="180812800"/>
        <c:crosses val="autoZero"/>
        <c:crossBetween val="midCat"/>
        <c:majorUnit val="20"/>
      </c:valAx>
      <c:valAx>
        <c:axId val="182310016"/>
        <c:scaling>
          <c:orientation val="minMax"/>
          <c:max val="180"/>
          <c:min val="-180"/>
        </c:scaling>
        <c:delete val="0"/>
        <c:axPos val="r"/>
        <c:title>
          <c:tx>
            <c:rich>
              <a:bodyPr rot="-5400000" vert="horz"/>
              <a:lstStyle/>
              <a:p>
                <a:pPr>
                  <a:defRPr/>
                </a:pPr>
                <a:r>
                  <a:rPr lang="en-US"/>
                  <a:t>Loop Phase Margin (deg)</a:t>
                </a:r>
              </a:p>
            </c:rich>
          </c:tx>
          <c:overlay val="0"/>
        </c:title>
        <c:numFmt formatCode="General" sourceLinked="1"/>
        <c:majorTickMark val="out"/>
        <c:minorTickMark val="none"/>
        <c:tickLblPos val="nextTo"/>
        <c:crossAx val="182350592"/>
        <c:crosses val="max"/>
        <c:crossBetween val="midCat"/>
        <c:majorUnit val="45"/>
      </c:valAx>
      <c:valAx>
        <c:axId val="182350592"/>
        <c:scaling>
          <c:logBase val="10"/>
          <c:orientation val="minMax"/>
        </c:scaling>
        <c:delete val="1"/>
        <c:axPos val="b"/>
        <c:numFmt formatCode="General" sourceLinked="1"/>
        <c:majorTickMark val="out"/>
        <c:minorTickMark val="none"/>
        <c:tickLblPos val="nextTo"/>
        <c:crossAx val="182310016"/>
        <c:crosses val="autoZero"/>
        <c:crossBetween val="midCat"/>
      </c:valAx>
    </c:plotArea>
    <c:legend>
      <c:legendPos val="l"/>
      <c:legendEntry>
        <c:idx val="1"/>
        <c:delete val="1"/>
      </c:legendEntry>
      <c:legendEntry>
        <c:idx val="2"/>
        <c:delete val="1"/>
      </c:legendEntry>
      <c:legendEntry>
        <c:idx val="3"/>
        <c:delete val="1"/>
      </c:legendEntry>
      <c:layout>
        <c:manualLayout>
          <c:xMode val="edge"/>
          <c:yMode val="edge"/>
          <c:x val="0.79304241813100085"/>
          <c:y val="2.6664513567886527E-2"/>
          <c:w val="0.11678001490904641"/>
          <c:h val="9.5033720657239265E-2"/>
        </c:manualLayout>
      </c:layout>
      <c:overlay val="1"/>
      <c:spPr>
        <a:noFill/>
      </c:sp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Open-Loop Current  </a:t>
            </a:r>
            <a:endParaRPr lang="en-US"/>
          </a:p>
        </c:rich>
      </c:tx>
      <c:overlay val="0"/>
    </c:title>
    <c:autoTitleDeleted val="0"/>
    <c:plotArea>
      <c:layout/>
      <c:scatterChart>
        <c:scatterStyle val="lineMarker"/>
        <c:varyColors val="0"/>
        <c:ser>
          <c:idx val="0"/>
          <c:order val="0"/>
          <c:tx>
            <c:v>Current Loop Gain</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Compensation!$K$8:$K$62</c:f>
              <c:numCache>
                <c:formatCode>General</c:formatCode>
                <c:ptCount val="55"/>
                <c:pt idx="0">
                  <c:v>85.266311764386217</c:v>
                </c:pt>
                <c:pt idx="1">
                  <c:v>83.044083474142084</c:v>
                </c:pt>
                <c:pt idx="2">
                  <c:v>80.821851129960464</c:v>
                </c:pt>
                <c:pt idx="3">
                  <c:v>78.599612023601551</c:v>
                </c:pt>
                <c:pt idx="4">
                  <c:v>76.37736163780238</c:v>
                </c:pt>
                <c:pt idx="5">
                  <c:v>74.155092438296691</c:v>
                </c:pt>
                <c:pt idx="6">
                  <c:v>71.932791859904469</c:v>
                </c:pt>
                <c:pt idx="7">
                  <c:v>69.710438950246512</c:v>
                </c:pt>
                <c:pt idx="8">
                  <c:v>67.487998779798119</c:v>
                </c:pt>
                <c:pt idx="9">
                  <c:v>65.265413141409169</c:v>
                </c:pt>
                <c:pt idx="10">
                  <c:v>63.042585103140837</c:v>
                </c:pt>
                <c:pt idx="11">
                  <c:v>60.819353426629057</c:v>
                </c:pt>
                <c:pt idx="12">
                  <c:v>58.595450408672164</c:v>
                </c:pt>
                <c:pt idx="13">
                  <c:v>56.370432975784198</c:v>
                </c:pt>
                <c:pt idx="14">
                  <c:v>54.143571635817771</c:v>
                </c:pt>
                <c:pt idx="15">
                  <c:v>51.913675816243845</c:v>
                </c:pt>
                <c:pt idx="16">
                  <c:v>49.678830801037456</c:v>
                </c:pt>
                <c:pt idx="17">
                  <c:v>47.436032578819088</c:v>
                </c:pt>
                <c:pt idx="18">
                  <c:v>45.180762081266906</c:v>
                </c:pt>
                <c:pt idx="19">
                  <c:v>42.906697426583584</c:v>
                </c:pt>
                <c:pt idx="20">
                  <c:v>40.606083169988153</c:v>
                </c:pt>
                <c:pt idx="21">
                  <c:v>38.271655720712282</c:v>
                </c:pt>
                <c:pt idx="22">
                  <c:v>35.900803738885109</c:v>
                </c:pt>
                <c:pt idx="23">
                  <c:v>33.50063236327653</c:v>
                </c:pt>
                <c:pt idx="24">
                  <c:v>31.089361782414553</c:v>
                </c:pt>
                <c:pt idx="25">
                  <c:v>28.690107367987828</c:v>
                </c:pt>
                <c:pt idx="26">
                  <c:v>26.320558954080724</c:v>
                </c:pt>
                <c:pt idx="27">
                  <c:v>23.987123044003052</c:v>
                </c:pt>
                <c:pt idx="28">
                  <c:v>21.686604559063419</c:v>
                </c:pt>
                <c:pt idx="29">
                  <c:v>19.411252367661092</c:v>
                </c:pt>
                <c:pt idx="30">
                  <c:v>17.152711641213156</c:v>
                </c:pt>
                <c:pt idx="31">
                  <c:v>14.903678289177957</c:v>
                </c:pt>
                <c:pt idx="32">
                  <c:v>12.657936563072683</c:v>
                </c:pt>
                <c:pt idx="33">
                  <c:v>10.409598869966795</c:v>
                </c:pt>
                <c:pt idx="34">
                  <c:v>8.1519473145344143</c:v>
                </c:pt>
                <c:pt idx="35">
                  <c:v>5.8759283198332906</c:v>
                </c:pt>
                <c:pt idx="36">
                  <c:v>3.5681880341988026</c:v>
                </c:pt>
                <c:pt idx="37">
                  <c:v>1.2085691525473823</c:v>
                </c:pt>
                <c:pt idx="38">
                  <c:v>-1.2326712676954403</c:v>
                </c:pt>
                <c:pt idx="39">
                  <c:v>-3.7968059104351903</c:v>
                </c:pt>
                <c:pt idx="40">
                  <c:v>-6.535258386104644</c:v>
                </c:pt>
                <c:pt idx="41">
                  <c:v>-9.5016672243803058</c:v>
                </c:pt>
                <c:pt idx="42">
                  <c:v>-12.73678751583806</c:v>
                </c:pt>
                <c:pt idx="43">
                  <c:v>-16.252690462980489</c:v>
                </c:pt>
                <c:pt idx="44">
                  <c:v>-20.027410127922515</c:v>
                </c:pt>
                <c:pt idx="45">
                  <c:v>-24.014489946313603</c:v>
                </c:pt>
                <c:pt idx="46">
                  <c:v>-28.159716978727015</c:v>
                </c:pt>
                <c:pt idx="47">
                  <c:v>-32.414373836090377</c:v>
                </c:pt>
                <c:pt idx="48">
                  <c:v>-36.740935252500847</c:v>
                </c:pt>
                <c:pt idx="49">
                  <c:v>-41.113145337949753</c:v>
                </c:pt>
                <c:pt idx="50">
                  <c:v>-45.513703262566551</c:v>
                </c:pt>
                <c:pt idx="51">
                  <c:v>-49.931624209093442</c:v>
                </c:pt>
                <c:pt idx="52">
                  <c:v>-54.36009021910948</c:v>
                </c:pt>
                <c:pt idx="53">
                  <c:v>-58.794927581323691</c:v>
                </c:pt>
                <c:pt idx="54">
                  <c:v>-63.233602525267003</c:v>
                </c:pt>
              </c:numCache>
            </c:numRef>
          </c:yVal>
          <c:smooth val="0"/>
          <c:extLst>
            <c:ext xmlns:c16="http://schemas.microsoft.com/office/drawing/2014/chart" uri="{C3380CC4-5D6E-409C-BE32-E72D297353CC}">
              <c16:uniqueId val="{00000000-50F6-4DF3-A35C-308D1FB32DF8}"/>
            </c:ext>
          </c:extLst>
        </c:ser>
        <c:dLbls>
          <c:showLegendKey val="0"/>
          <c:showVal val="0"/>
          <c:showCatName val="0"/>
          <c:showSerName val="0"/>
          <c:showPercent val="0"/>
          <c:showBubbleSize val="0"/>
        </c:dLbls>
        <c:axId val="222780416"/>
        <c:axId val="222795648"/>
      </c:scatterChart>
      <c:scatterChart>
        <c:scatterStyle val="lineMarker"/>
        <c:varyColors val="0"/>
        <c:ser>
          <c:idx val="1"/>
          <c:order val="1"/>
          <c:tx>
            <c:v>Current Loop Phase</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Compensation!$L$8:$L$62</c:f>
              <c:numCache>
                <c:formatCode>General</c:formatCode>
                <c:ptCount val="55"/>
                <c:pt idx="0">
                  <c:v>89.974498798371457</c:v>
                </c:pt>
                <c:pt idx="1">
                  <c:v>89.967064059721878</c:v>
                </c:pt>
                <c:pt idx="2">
                  <c:v>89.957461873438845</c:v>
                </c:pt>
                <c:pt idx="3">
                  <c:v>89.945060491657742</c:v>
                </c:pt>
                <c:pt idx="4">
                  <c:v>89.929044177754278</c:v>
                </c:pt>
                <c:pt idx="5">
                  <c:v>89.908359791990748</c:v>
                </c:pt>
                <c:pt idx="6">
                  <c:v>89.881648066729923</c:v>
                </c:pt>
                <c:pt idx="7">
                  <c:v>89.847155410152325</c:v>
                </c:pt>
                <c:pt idx="8">
                  <c:v>89.802621212761679</c:v>
                </c:pt>
                <c:pt idx="9">
                  <c:v>89.745134914152729</c:v>
                </c:pt>
                <c:pt idx="10">
                  <c:v>89.670957017137084</c:v>
                </c:pt>
                <c:pt idx="11">
                  <c:v>89.57529996617032</c:v>
                </c:pt>
                <c:pt idx="12">
                  <c:v>89.452070884692191</c:v>
                </c:pt>
                <c:pt idx="13">
                  <c:v>89.293594014926555</c:v>
                </c:pt>
                <c:pt idx="14">
                  <c:v>89.090367416912059</c:v>
                </c:pt>
                <c:pt idx="15">
                  <c:v>88.830987454585355</c:v>
                </c:pt>
                <c:pt idx="16">
                  <c:v>88.502532887125795</c:v>
                </c:pt>
                <c:pt idx="17">
                  <c:v>88.091987960520342</c:v>
                </c:pt>
                <c:pt idx="18">
                  <c:v>87.589718177169004</c:v>
                </c:pt>
                <c:pt idx="19">
                  <c:v>86.996396464878671</c:v>
                </c:pt>
                <c:pt idx="20">
                  <c:v>86.334246215927848</c:v>
                </c:pt>
                <c:pt idx="21">
                  <c:v>85.660006507724006</c:v>
                </c:pt>
                <c:pt idx="22">
                  <c:v>85.068977930552137</c:v>
                </c:pt>
                <c:pt idx="23">
                  <c:v>84.672720158266657</c:v>
                </c:pt>
                <c:pt idx="24">
                  <c:v>84.546208022254106</c:v>
                </c:pt>
                <c:pt idx="25">
                  <c:v>84.678232767071393</c:v>
                </c:pt>
                <c:pt idx="26">
                  <c:v>84.972369116345661</c:v>
                </c:pt>
                <c:pt idx="27">
                  <c:v>85.296839094948851</c:v>
                </c:pt>
                <c:pt idx="28">
                  <c:v>85.534989383579088</c:v>
                </c:pt>
                <c:pt idx="29">
                  <c:v>85.604448891651828</c:v>
                </c:pt>
                <c:pt idx="30">
                  <c:v>85.450498999108476</c:v>
                </c:pt>
                <c:pt idx="31">
                  <c:v>85.030973369258788</c:v>
                </c:pt>
                <c:pt idx="32">
                  <c:v>84.302822876845781</c:v>
                </c:pt>
                <c:pt idx="33">
                  <c:v>83.21272969671567</c:v>
                </c:pt>
                <c:pt idx="34">
                  <c:v>81.691129652831009</c:v>
                </c:pt>
                <c:pt idx="35">
                  <c:v>79.649042524837938</c:v>
                </c:pt>
                <c:pt idx="36">
                  <c:v>76.978456391505944</c:v>
                </c:pt>
                <c:pt idx="37">
                  <c:v>73.559049273049368</c:v>
                </c:pt>
                <c:pt idx="38">
                  <c:v>69.27639272000998</c:v>
                </c:pt>
                <c:pt idx="39">
                  <c:v>64.057796769354781</c:v>
                </c:pt>
                <c:pt idx="40">
                  <c:v>57.926845730918032</c:v>
                </c:pt>
                <c:pt idx="41">
                  <c:v>51.060088081403784</c:v>
                </c:pt>
                <c:pt idx="42">
                  <c:v>43.804338343479387</c:v>
                </c:pt>
                <c:pt idx="43">
                  <c:v>36.613579747643506</c:v>
                </c:pt>
                <c:pt idx="44">
                  <c:v>29.920550433321054</c:v>
                </c:pt>
                <c:pt idx="45">
                  <c:v>24.021742287668079</c:v>
                </c:pt>
                <c:pt idx="46">
                  <c:v>19.040550664842915</c:v>
                </c:pt>
                <c:pt idx="47">
                  <c:v>14.961728593576861</c:v>
                </c:pt>
                <c:pt idx="48">
                  <c:v>11.690568064775448</c:v>
                </c:pt>
                <c:pt idx="49">
                  <c:v>9.1022137149905209</c:v>
                </c:pt>
                <c:pt idx="50">
                  <c:v>7.0713953836565828</c:v>
                </c:pt>
                <c:pt idx="51">
                  <c:v>5.4863181057836172</c:v>
                </c:pt>
                <c:pt idx="52">
                  <c:v>4.2530830322168498</c:v>
                </c:pt>
                <c:pt idx="53">
                  <c:v>3.2954420988719764</c:v>
                </c:pt>
                <c:pt idx="54">
                  <c:v>2.5526734725190141</c:v>
                </c:pt>
              </c:numCache>
            </c:numRef>
          </c:yVal>
          <c:smooth val="0"/>
          <c:extLst>
            <c:ext xmlns:c16="http://schemas.microsoft.com/office/drawing/2014/chart" uri="{C3380CC4-5D6E-409C-BE32-E72D297353CC}">
              <c16:uniqueId val="{00000001-50F6-4DF3-A35C-308D1FB32DF8}"/>
            </c:ext>
          </c:extLst>
        </c:ser>
        <c:dLbls>
          <c:showLegendKey val="0"/>
          <c:showVal val="0"/>
          <c:showCatName val="0"/>
          <c:showSerName val="0"/>
          <c:showPercent val="0"/>
          <c:showBubbleSize val="0"/>
        </c:dLbls>
        <c:axId val="223315072"/>
        <c:axId val="222797184"/>
      </c:scatterChart>
      <c:valAx>
        <c:axId val="222780416"/>
        <c:scaling>
          <c:logBase val="10"/>
          <c:orientation val="minMax"/>
          <c:min val="10"/>
        </c:scaling>
        <c:delete val="0"/>
        <c:axPos val="b"/>
        <c:majorGridlines/>
        <c:minorGridlines/>
        <c:numFmt formatCode="General" sourceLinked="1"/>
        <c:majorTickMark val="out"/>
        <c:minorTickMark val="cross"/>
        <c:tickLblPos val="low"/>
        <c:crossAx val="222795648"/>
        <c:crosses val="autoZero"/>
        <c:crossBetween val="midCat"/>
      </c:valAx>
      <c:valAx>
        <c:axId val="222795648"/>
        <c:scaling>
          <c:orientation val="minMax"/>
          <c:max val="60"/>
          <c:min val="-40"/>
        </c:scaling>
        <c:delete val="0"/>
        <c:axPos val="l"/>
        <c:majorGridlines/>
        <c:numFmt formatCode="General" sourceLinked="1"/>
        <c:majorTickMark val="out"/>
        <c:minorTickMark val="none"/>
        <c:tickLblPos val="nextTo"/>
        <c:crossAx val="222780416"/>
        <c:crosses val="autoZero"/>
        <c:crossBetween val="midCat"/>
        <c:majorUnit val="20"/>
      </c:valAx>
      <c:valAx>
        <c:axId val="222797184"/>
        <c:scaling>
          <c:orientation val="minMax"/>
          <c:max val="180"/>
          <c:min val="-180"/>
        </c:scaling>
        <c:delete val="0"/>
        <c:axPos val="r"/>
        <c:numFmt formatCode="General" sourceLinked="1"/>
        <c:majorTickMark val="out"/>
        <c:minorTickMark val="none"/>
        <c:tickLblPos val="nextTo"/>
        <c:crossAx val="223315072"/>
        <c:crosses val="max"/>
        <c:crossBetween val="midCat"/>
        <c:majorUnit val="45"/>
      </c:valAx>
      <c:valAx>
        <c:axId val="223315072"/>
        <c:scaling>
          <c:logBase val="10"/>
          <c:orientation val="minMax"/>
        </c:scaling>
        <c:delete val="1"/>
        <c:axPos val="b"/>
        <c:numFmt formatCode="General" sourceLinked="1"/>
        <c:majorTickMark val="out"/>
        <c:minorTickMark val="none"/>
        <c:tickLblPos val="nextTo"/>
        <c:crossAx val="222797184"/>
        <c:crosses val="autoZero"/>
        <c:crossBetween val="midCat"/>
      </c:valAx>
    </c:plotArea>
    <c:legend>
      <c:legendPos val="l"/>
      <c:layout>
        <c:manualLayout>
          <c:xMode val="edge"/>
          <c:yMode val="edge"/>
          <c:x val="0.66446284284970702"/>
          <c:y val="0.15975271971864352"/>
          <c:w val="0.25624167236024714"/>
          <c:h val="0.1741696202416313"/>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6"/>
          <c:order val="0"/>
          <c:tx>
            <c:v>Gain_Boost_iL</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Compensation!$S$169:$S$223</c:f>
              <c:numCache>
                <c:formatCode>General</c:formatCode>
                <c:ptCount val="55"/>
                <c:pt idx="0">
                  <c:v>26.020365147411624</c:v>
                </c:pt>
                <c:pt idx="1">
                  <c:v>26.020208307766982</c:v>
                </c:pt>
                <c:pt idx="2">
                  <c:v>26.019946696942341</c:v>
                </c:pt>
                <c:pt idx="3">
                  <c:v>26.019510341264009</c:v>
                </c:pt>
                <c:pt idx="4">
                  <c:v>26.018782560386256</c:v>
                </c:pt>
                <c:pt idx="5">
                  <c:v>26.017568838721388</c:v>
                </c:pt>
                <c:pt idx="6">
                  <c:v>26.015545035414274</c:v>
                </c:pt>
                <c:pt idx="7">
                  <c:v>26.012171369667463</c:v>
                </c:pt>
                <c:pt idx="8">
                  <c:v>26.006549982532565</c:v>
                </c:pt>
                <c:pt idx="9">
                  <c:v>25.997190218493472</c:v>
                </c:pt>
                <c:pt idx="10">
                  <c:v>25.981625025168562</c:v>
                </c:pt>
                <c:pt idx="11">
                  <c:v>25.955792742768217</c:v>
                </c:pt>
                <c:pt idx="12">
                  <c:v>25.913064353310595</c:v>
                </c:pt>
                <c:pt idx="13">
                  <c:v>25.842775476610001</c:v>
                </c:pt>
                <c:pt idx="14">
                  <c:v>25.728172840550215</c:v>
                </c:pt>
                <c:pt idx="15">
                  <c:v>25.54394359970237</c:v>
                </c:pt>
                <c:pt idx="16">
                  <c:v>25.254193088898198</c:v>
                </c:pt>
                <c:pt idx="17">
                  <c:v>24.813000142090026</c:v>
                </c:pt>
                <c:pt idx="18">
                  <c:v>24.170796529553058</c:v>
                </c:pt>
                <c:pt idx="19">
                  <c:v>23.288346712847346</c:v>
                </c:pt>
                <c:pt idx="20">
                  <c:v>22.153749597710359</c:v>
                </c:pt>
                <c:pt idx="21">
                  <c:v>20.790883946417765</c:v>
                </c:pt>
                <c:pt idx="22">
                  <c:v>19.250461601759646</c:v>
                </c:pt>
                <c:pt idx="23">
                  <c:v>17.587773715991137</c:v>
                </c:pt>
                <c:pt idx="24">
                  <c:v>15.841075570990768</c:v>
                </c:pt>
                <c:pt idx="25">
                  <c:v>14.023812820990498</c:v>
                </c:pt>
                <c:pt idx="26">
                  <c:v>12.133985633221142</c:v>
                </c:pt>
                <c:pt idx="27">
                  <c:v>10.170347405938728</c:v>
                </c:pt>
                <c:pt idx="28">
                  <c:v>8.1416022825155228</c:v>
                </c:pt>
                <c:pt idx="29">
                  <c:v>6.0655395464734694</c:v>
                </c:pt>
                <c:pt idx="30">
                  <c:v>3.9645112993437683</c:v>
                </c:pt>
                <c:pt idx="31">
                  <c:v>1.8629017074660275</c:v>
                </c:pt>
                <c:pt idx="32">
                  <c:v>-0.21223942857456862</c:v>
                </c:pt>
                <c:pt idx="33">
                  <c:v>-2.2287271189518472</c:v>
                </c:pt>
                <c:pt idx="34">
                  <c:v>-4.1472392232534192</c:v>
                </c:pt>
                <c:pt idx="35">
                  <c:v>-5.9234556783161141</c:v>
                </c:pt>
                <c:pt idx="36">
                  <c:v>-7.5200394868968328</c:v>
                </c:pt>
                <c:pt idx="37">
                  <c:v>-8.9338560775010105</c:v>
                </c:pt>
                <c:pt idx="38">
                  <c:v>-10.233795499705248</c:v>
                </c:pt>
                <c:pt idx="39">
                  <c:v>-11.576912567787192</c:v>
                </c:pt>
                <c:pt idx="40">
                  <c:v>-13.145952116980862</c:v>
                </c:pt>
                <c:pt idx="41">
                  <c:v>-15.021244860183762</c:v>
                </c:pt>
                <c:pt idx="42">
                  <c:v>-17.137333422735619</c:v>
                </c:pt>
                <c:pt idx="43">
                  <c:v>-19.375672951562461</c:v>
                </c:pt>
                <c:pt idx="44">
                  <c:v>-21.651199302084478</c:v>
                </c:pt>
                <c:pt idx="45">
                  <c:v>-23.925249203257714</c:v>
                </c:pt>
                <c:pt idx="46">
                  <c:v>-26.18672255610425</c:v>
                </c:pt>
                <c:pt idx="47">
                  <c:v>-28.435657514455322</c:v>
                </c:pt>
                <c:pt idx="48">
                  <c:v>-30.675091778926522</c:v>
                </c:pt>
                <c:pt idx="49">
                  <c:v>-32.908075001165955</c:v>
                </c:pt>
                <c:pt idx="50">
                  <c:v>-35.136909989187664</c:v>
                </c:pt>
                <c:pt idx="51">
                  <c:v>-37.363155150716373</c:v>
                </c:pt>
                <c:pt idx="52">
                  <c:v>-39.587810277953025</c:v>
                </c:pt>
                <c:pt idx="53">
                  <c:v>-41.811498639949733</c:v>
                </c:pt>
                <c:pt idx="54">
                  <c:v>-44.034602545481121</c:v>
                </c:pt>
              </c:numCache>
            </c:numRef>
          </c:yVal>
          <c:smooth val="1"/>
          <c:extLst>
            <c:ext xmlns:c16="http://schemas.microsoft.com/office/drawing/2014/chart" uri="{C3380CC4-5D6E-409C-BE32-E72D297353CC}">
              <c16:uniqueId val="{00000000-80B1-4A52-83EC-9E92BEB0D156}"/>
            </c:ext>
          </c:extLst>
        </c:ser>
        <c:ser>
          <c:idx val="1"/>
          <c:order val="2"/>
          <c:tx>
            <c:v>Simplis_Gain</c:v>
          </c:tx>
          <c:marker>
            <c:symbol val="none"/>
          </c:marker>
          <c:xVal>
            <c:numRef>
              <c:f>Compensation!$AE$182:$AE$1243</c:f>
              <c:numCache>
                <c:formatCode>General</c:formatCode>
                <c:ptCount val="1062"/>
              </c:numCache>
            </c:numRef>
          </c:xVal>
          <c:yVal>
            <c:numRef>
              <c:f>Compensation!$AF$182:$AF$1243</c:f>
              <c:numCache>
                <c:formatCode>General</c:formatCode>
                <c:ptCount val="1062"/>
                <c:pt idx="34">
                  <c:v>0</c:v>
                </c:pt>
                <c:pt idx="35">
                  <c:v>0</c:v>
                </c:pt>
                <c:pt idx="36">
                  <c:v>0</c:v>
                </c:pt>
              </c:numCache>
            </c:numRef>
          </c:yVal>
          <c:smooth val="0"/>
          <c:extLst>
            <c:ext xmlns:c16="http://schemas.microsoft.com/office/drawing/2014/chart" uri="{C3380CC4-5D6E-409C-BE32-E72D297353CC}">
              <c16:uniqueId val="{00000001-80B1-4A52-83EC-9E92BEB0D156}"/>
            </c:ext>
          </c:extLst>
        </c:ser>
        <c:dLbls>
          <c:showLegendKey val="0"/>
          <c:showVal val="0"/>
          <c:showCatName val="0"/>
          <c:showSerName val="0"/>
          <c:showPercent val="0"/>
          <c:showBubbleSize val="0"/>
        </c:dLbls>
        <c:axId val="224078080"/>
        <c:axId val="225329536"/>
      </c:scatterChart>
      <c:scatterChart>
        <c:scatterStyle val="lineMarker"/>
        <c:varyColors val="0"/>
        <c:ser>
          <c:idx val="0"/>
          <c:order val="1"/>
          <c:tx>
            <c:v>Phase_Boost_iL</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Compensation!$T$169:$T$223</c:f>
              <c:numCache>
                <c:formatCode>General</c:formatCode>
                <c:ptCount val="55"/>
                <c:pt idx="0">
                  <c:v>-0.40677663530569491</c:v>
                </c:pt>
                <c:pt idx="1">
                  <c:v>-0.52536541415977722</c:v>
                </c:pt>
                <c:pt idx="2">
                  <c:v>-0.67852084759992226</c:v>
                </c:pt>
                <c:pt idx="3">
                  <c:v>-0.87631175583814991</c:v>
                </c:pt>
                <c:pt idx="4">
                  <c:v>-1.1317320481781523</c:v>
                </c:pt>
                <c:pt idx="5">
                  <c:v>-1.4615414579637858</c:v>
                </c:pt>
                <c:pt idx="6">
                  <c:v>-1.8873374953143578</c:v>
                </c:pt>
                <c:pt idx="7">
                  <c:v>-2.4369100885357815</c:v>
                </c:pt>
                <c:pt idx="8">
                  <c:v>-3.1459272573563899</c:v>
                </c:pt>
                <c:pt idx="9">
                  <c:v>-4.0599758756617392</c:v>
                </c:pt>
                <c:pt idx="10">
                  <c:v>-5.2369083484137464</c:v>
                </c:pt>
                <c:pt idx="11">
                  <c:v>-6.7492673645598913</c:v>
                </c:pt>
                <c:pt idx="12">
                  <c:v>-8.6861699909674517</c:v>
                </c:pt>
                <c:pt idx="13">
                  <c:v>-11.15325226642419</c:v>
                </c:pt>
                <c:pt idx="14">
                  <c:v>-14.267894546796811</c:v>
                </c:pt>
                <c:pt idx="15">
                  <c:v>-18.144988474748722</c:v>
                </c:pt>
                <c:pt idx="16">
                  <c:v>-22.867102959710031</c:v>
                </c:pt>
                <c:pt idx="17">
                  <c:v>-28.43594415455977</c:v>
                </c:pt>
                <c:pt idx="18">
                  <c:v>-34.716176707716329</c:v>
                </c:pt>
                <c:pt idx="19">
                  <c:v>-41.408282849723882</c:v>
                </c:pt>
                <c:pt idx="20">
                  <c:v>-48.098857035813907</c:v>
                </c:pt>
                <c:pt idx="21">
                  <c:v>-54.394546940535598</c:v>
                </c:pt>
                <c:pt idx="22">
                  <c:v>-60.068359363471096</c:v>
                </c:pt>
                <c:pt idx="23">
                  <c:v>-65.122768669833562</c:v>
                </c:pt>
                <c:pt idx="24">
                  <c:v>-69.732525850598108</c:v>
                </c:pt>
                <c:pt idx="25">
                  <c:v>-74.112129000722703</c:v>
                </c:pt>
                <c:pt idx="26">
                  <c:v>-78.405509765986494</c:v>
                </c:pt>
                <c:pt idx="27">
                  <c:v>-82.672146108700758</c:v>
                </c:pt>
                <c:pt idx="28">
                  <c:v>-86.949430349180361</c:v>
                </c:pt>
                <c:pt idx="29">
                  <c:v>-91.31613131928539</c:v>
                </c:pt>
                <c:pt idx="30">
                  <c:v>-95.917045769201849</c:v>
                </c:pt>
                <c:pt idx="31">
                  <c:v>-100.95818439951204</c:v>
                </c:pt>
                <c:pt idx="32">
                  <c:v>-106.69217549508988</c:v>
                </c:pt>
                <c:pt idx="33">
                  <c:v>-113.40154866685404</c:v>
                </c:pt>
                <c:pt idx="34">
                  <c:v>-121.37700157900278</c:v>
                </c:pt>
                <c:pt idx="35">
                  <c:v>-130.8860124217349</c:v>
                </c:pt>
                <c:pt idx="36">
                  <c:v>-142.13366764696337</c:v>
                </c:pt>
                <c:pt idx="37">
                  <c:v>-155.21967256459652</c:v>
                </c:pt>
                <c:pt idx="38">
                  <c:v>-170.05734010568412</c:v>
                </c:pt>
                <c:pt idx="39">
                  <c:v>173.83890343820013</c:v>
                </c:pt>
                <c:pt idx="40">
                  <c:v>157.60849564289603</c:v>
                </c:pt>
                <c:pt idx="41">
                  <c:v>142.79413252752713</c:v>
                </c:pt>
                <c:pt idx="42">
                  <c:v>130.48706321210503</c:v>
                </c:pt>
                <c:pt idx="43">
                  <c:v>120.87869941936681</c:v>
                </c:pt>
                <c:pt idx="44">
                  <c:v>113.58114779803883</c:v>
                </c:pt>
                <c:pt idx="45">
                  <c:v>108.06989140954046</c:v>
                </c:pt>
                <c:pt idx="46">
                  <c:v>103.89236591171083</c:v>
                </c:pt>
                <c:pt idx="47">
                  <c:v>100.70734253040068</c:v>
                </c:pt>
                <c:pt idx="48">
                  <c:v>98.266608555081206</c:v>
                </c:pt>
                <c:pt idx="49">
                  <c:v>96.389265847740049</c:v>
                </c:pt>
                <c:pt idx="50">
                  <c:v>94.941670077093562</c:v>
                </c:pt>
                <c:pt idx="51">
                  <c:v>93.823671389143584</c:v>
                </c:pt>
                <c:pt idx="52">
                  <c:v>92.959370848484653</c:v>
                </c:pt>
                <c:pt idx="53">
                  <c:v>92.290793734427311</c:v>
                </c:pt>
                <c:pt idx="54">
                  <c:v>91.773427453874106</c:v>
                </c:pt>
              </c:numCache>
            </c:numRef>
          </c:yVal>
          <c:smooth val="1"/>
          <c:extLst>
            <c:ext xmlns:c16="http://schemas.microsoft.com/office/drawing/2014/chart" uri="{C3380CC4-5D6E-409C-BE32-E72D297353CC}">
              <c16:uniqueId val="{00000002-80B1-4A52-83EC-9E92BEB0D156}"/>
            </c:ext>
          </c:extLst>
        </c:ser>
        <c:ser>
          <c:idx val="2"/>
          <c:order val="3"/>
          <c:tx>
            <c:v>Simplis_Phase</c:v>
          </c:tx>
          <c:marker>
            <c:symbol val="none"/>
          </c:marker>
          <c:xVal>
            <c:numRef>
              <c:f>Compensation!$AH$183:$AH$1244</c:f>
              <c:numCache>
                <c:formatCode>General</c:formatCode>
                <c:ptCount val="1062"/>
                <c:pt idx="33">
                  <c:v>-0.84627802797779916</c:v>
                </c:pt>
                <c:pt idx="34">
                  <c:v>4641.5888336127782</c:v>
                </c:pt>
                <c:pt idx="35">
                  <c:v>53.502880513812556</c:v>
                </c:pt>
              </c:numCache>
            </c:numRef>
          </c:xVal>
          <c:yVal>
            <c:numRef>
              <c:f>Compensation!$AI$183:$AI$1244</c:f>
              <c:numCache>
                <c:formatCode>General</c:formatCode>
                <c:ptCount val="1062"/>
              </c:numCache>
            </c:numRef>
          </c:yVal>
          <c:smooth val="0"/>
          <c:extLst>
            <c:ext xmlns:c16="http://schemas.microsoft.com/office/drawing/2014/chart" uri="{C3380CC4-5D6E-409C-BE32-E72D297353CC}">
              <c16:uniqueId val="{00000003-80B1-4A52-83EC-9E92BEB0D156}"/>
            </c:ext>
          </c:extLst>
        </c:ser>
        <c:dLbls>
          <c:showLegendKey val="0"/>
          <c:showVal val="0"/>
          <c:showCatName val="0"/>
          <c:showSerName val="0"/>
          <c:showPercent val="0"/>
          <c:showBubbleSize val="0"/>
        </c:dLbls>
        <c:axId val="281326720"/>
        <c:axId val="225331072"/>
      </c:scatterChart>
      <c:valAx>
        <c:axId val="224078080"/>
        <c:scaling>
          <c:logBase val="10"/>
          <c:orientation val="minMax"/>
        </c:scaling>
        <c:delete val="0"/>
        <c:axPos val="b"/>
        <c:majorGridlines/>
        <c:minorGridlines/>
        <c:numFmt formatCode="General" sourceLinked="1"/>
        <c:majorTickMark val="out"/>
        <c:minorTickMark val="cross"/>
        <c:tickLblPos val="low"/>
        <c:crossAx val="225329536"/>
        <c:crosses val="autoZero"/>
        <c:crossBetween val="midCat"/>
      </c:valAx>
      <c:valAx>
        <c:axId val="225329536"/>
        <c:scaling>
          <c:orientation val="minMax"/>
          <c:min val="-40"/>
        </c:scaling>
        <c:delete val="0"/>
        <c:axPos val="l"/>
        <c:majorGridlines/>
        <c:numFmt formatCode="General" sourceLinked="1"/>
        <c:majorTickMark val="out"/>
        <c:minorTickMark val="none"/>
        <c:tickLblPos val="nextTo"/>
        <c:crossAx val="224078080"/>
        <c:crosses val="autoZero"/>
        <c:crossBetween val="midCat"/>
        <c:majorUnit val="20"/>
      </c:valAx>
      <c:valAx>
        <c:axId val="225331072"/>
        <c:scaling>
          <c:orientation val="minMax"/>
          <c:max val="180"/>
          <c:min val="-180"/>
        </c:scaling>
        <c:delete val="0"/>
        <c:axPos val="r"/>
        <c:numFmt formatCode="General" sourceLinked="1"/>
        <c:majorTickMark val="out"/>
        <c:minorTickMark val="none"/>
        <c:tickLblPos val="nextTo"/>
        <c:crossAx val="281326720"/>
        <c:crosses val="max"/>
        <c:crossBetween val="midCat"/>
        <c:majorUnit val="45"/>
      </c:valAx>
      <c:valAx>
        <c:axId val="281326720"/>
        <c:scaling>
          <c:logBase val="10"/>
          <c:orientation val="minMax"/>
        </c:scaling>
        <c:delete val="1"/>
        <c:axPos val="b"/>
        <c:numFmt formatCode="General" sourceLinked="1"/>
        <c:majorTickMark val="out"/>
        <c:minorTickMark val="none"/>
        <c:tickLblPos val="nextTo"/>
        <c:crossAx val="225331072"/>
        <c:crosses val="autoZero"/>
        <c:crossBetween val="midCat"/>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6"/>
          <c:order val="0"/>
          <c:tx>
            <c:v>Gain_Buck</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Compensation!$S$79:$S$133</c:f>
              <c:numCache>
                <c:formatCode>General</c:formatCode>
                <c:ptCount val="55"/>
                <c:pt idx="0">
                  <c:v>21.52299533559718</c:v>
                </c:pt>
                <c:pt idx="1">
                  <c:v>21.522928198167524</c:v>
                </c:pt>
                <c:pt idx="2">
                  <c:v>21.522816209450312</c:v>
                </c:pt>
                <c:pt idx="3">
                  <c:v>21.522629410095728</c:v>
                </c:pt>
                <c:pt idx="4">
                  <c:v>21.522317835267735</c:v>
                </c:pt>
                <c:pt idx="5">
                  <c:v>21.521798167447344</c:v>
                </c:pt>
                <c:pt idx="6">
                  <c:v>21.520931504876888</c:v>
                </c:pt>
                <c:pt idx="7">
                  <c:v>21.519486368551071</c:v>
                </c:pt>
                <c:pt idx="8">
                  <c:v>21.517077248145426</c:v>
                </c:pt>
                <c:pt idx="9">
                  <c:v>21.513062794781778</c:v>
                </c:pt>
                <c:pt idx="10">
                  <c:v>21.506377945156395</c:v>
                </c:pt>
                <c:pt idx="11">
                  <c:v>21.495259259627293</c:v>
                </c:pt>
                <c:pt idx="12">
                  <c:v>21.476801473379975</c:v>
                </c:pt>
                <c:pt idx="13">
                  <c:v>21.446257666323977</c:v>
                </c:pt>
                <c:pt idx="14">
                  <c:v>21.395978126210913</c:v>
                </c:pt>
                <c:pt idx="15">
                  <c:v>21.313915178209918</c:v>
                </c:pt>
                <c:pt idx="16">
                  <c:v>21.181806713863146</c:v>
                </c:pt>
                <c:pt idx="17">
                  <c:v>20.973685829869751</c:v>
                </c:pt>
                <c:pt idx="18">
                  <c:v>20.656438260853239</c:v>
                </c:pt>
                <c:pt idx="19">
                  <c:v>20.195389298448085</c:v>
                </c:pt>
                <c:pt idx="20">
                  <c:v>19.567410830403858</c:v>
                </c:pt>
                <c:pt idx="21">
                  <c:v>18.778718917946488</c:v>
                </c:pt>
                <c:pt idx="22">
                  <c:v>17.875676658804139</c:v>
                </c:pt>
                <c:pt idx="23">
                  <c:v>16.935057936468031</c:v>
                </c:pt>
                <c:pt idx="24">
                  <c:v>16.033374787835605</c:v>
                </c:pt>
                <c:pt idx="25">
                  <c:v>15.212320210931997</c:v>
                </c:pt>
                <c:pt idx="26">
                  <c:v>14.460828913237533</c:v>
                </c:pt>
                <c:pt idx="27">
                  <c:v>13.720698625867335</c:v>
                </c:pt>
                <c:pt idx="28">
                  <c:v>12.907739949686887</c:v>
                </c:pt>
                <c:pt idx="29">
                  <c:v>11.937929529722487</c:v>
                </c:pt>
                <c:pt idx="30">
                  <c:v>10.751971987637681</c:v>
                </c:pt>
                <c:pt idx="31">
                  <c:v>9.3311017243465102</c:v>
                </c:pt>
                <c:pt idx="32">
                  <c:v>7.6969234654907517</c:v>
                </c:pt>
                <c:pt idx="33">
                  <c:v>5.8968741698189202</c:v>
                </c:pt>
                <c:pt idx="34">
                  <c:v>3.9857275177092961</c:v>
                </c:pt>
                <c:pt idx="35">
                  <c:v>2.0109498784437401</c:v>
                </c:pt>
                <c:pt idx="36">
                  <c:v>1.4782179449257212E-4</c:v>
                </c:pt>
                <c:pt idx="37">
                  <c:v>-2.0574587803429378</c:v>
                </c:pt>
                <c:pt idx="38">
                  <c:v>-4.2390127786379939</c:v>
                </c:pt>
                <c:pt idx="39">
                  <c:v>-6.7020680284125493</c:v>
                </c:pt>
                <c:pt idx="40">
                  <c:v>-9.6251034243728757</c:v>
                </c:pt>
                <c:pt idx="41">
                  <c:v>-13.074939834802812</c:v>
                </c:pt>
                <c:pt idx="42">
                  <c:v>-16.956220995627994</c:v>
                </c:pt>
                <c:pt idx="43">
                  <c:v>-21.109140082388791</c:v>
                </c:pt>
                <c:pt idx="44">
                  <c:v>-25.407246089619711</c:v>
                </c:pt>
                <c:pt idx="45">
                  <c:v>-29.777411026611631</c:v>
                </c:pt>
                <c:pt idx="46">
                  <c:v>-34.182937431988691</c:v>
                </c:pt>
                <c:pt idx="47">
                  <c:v>-38.606244505378932</c:v>
                </c:pt>
                <c:pt idx="48">
                  <c:v>-43.038844757115967</c:v>
                </c:pt>
                <c:pt idx="49">
                  <c:v>-47.476494647406149</c:v>
                </c:pt>
                <c:pt idx="50">
                  <c:v>-51.916977631006354</c:v>
                </c:pt>
                <c:pt idx="51">
                  <c:v>-56.359087809143531</c:v>
                </c:pt>
                <c:pt idx="52">
                  <c:v>-60.802147563106608</c:v>
                </c:pt>
                <c:pt idx="53">
                  <c:v>-65.24576719651678</c:v>
                </c:pt>
                <c:pt idx="54">
                  <c:v>-69.689719084556899</c:v>
                </c:pt>
              </c:numCache>
            </c:numRef>
          </c:yVal>
          <c:smooth val="1"/>
          <c:extLst>
            <c:ext xmlns:c16="http://schemas.microsoft.com/office/drawing/2014/chart" uri="{C3380CC4-5D6E-409C-BE32-E72D297353CC}">
              <c16:uniqueId val="{00000000-5D47-4D12-9481-0731AA5F86FA}"/>
            </c:ext>
          </c:extLst>
        </c:ser>
        <c:ser>
          <c:idx val="1"/>
          <c:order val="2"/>
          <c:tx>
            <c:v>Simplis_Gain</c:v>
          </c:tx>
          <c:marker>
            <c:symbol val="none"/>
          </c:marker>
          <c:xVal>
            <c:numRef>
              <c:f>Compensation!$AR$84:$AR$1284</c:f>
              <c:numCache>
                <c:formatCode>General</c:formatCode>
                <c:ptCount val="1201"/>
              </c:numCache>
            </c:numRef>
          </c:xVal>
          <c:yVal>
            <c:numRef>
              <c:f>Compensation!$AS$84:$AS$1284</c:f>
              <c:numCache>
                <c:formatCode>General</c:formatCode>
                <c:ptCount val="1201"/>
              </c:numCache>
            </c:numRef>
          </c:yVal>
          <c:smooth val="0"/>
          <c:extLst>
            <c:ext xmlns:c16="http://schemas.microsoft.com/office/drawing/2014/chart" uri="{C3380CC4-5D6E-409C-BE32-E72D297353CC}">
              <c16:uniqueId val="{00000001-5D47-4D12-9481-0731AA5F86FA}"/>
            </c:ext>
          </c:extLst>
        </c:ser>
        <c:dLbls>
          <c:showLegendKey val="0"/>
          <c:showVal val="0"/>
          <c:showCatName val="0"/>
          <c:showSerName val="0"/>
          <c:showPercent val="0"/>
          <c:showBubbleSize val="0"/>
        </c:dLbls>
        <c:axId val="283349376"/>
        <c:axId val="283350912"/>
      </c:scatterChart>
      <c:scatterChart>
        <c:scatterStyle val="lineMarker"/>
        <c:varyColors val="0"/>
        <c:ser>
          <c:idx val="0"/>
          <c:order val="1"/>
          <c:tx>
            <c:v>Phase_Buck</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Compensation!$T$79:$T$133</c:f>
              <c:numCache>
                <c:formatCode>General</c:formatCode>
                <c:ptCount val="55"/>
                <c:pt idx="0">
                  <c:v>-0.20432457865981002</c:v>
                </c:pt>
                <c:pt idx="1">
                  <c:v>-0.2638930900605988</c:v>
                </c:pt>
                <c:pt idx="2">
                  <c:v>-0.3408261824569418</c:v>
                </c:pt>
                <c:pt idx="3">
                  <c:v>-0.44018349416846975</c:v>
                </c:pt>
                <c:pt idx="4">
                  <c:v>-0.56849633774245933</c:v>
                </c:pt>
                <c:pt idx="5">
                  <c:v>-0.7341927725603975</c:v>
                </c:pt>
                <c:pt idx="6">
                  <c:v>-0.94814200396872261</c:v>
                </c:pt>
                <c:pt idx="7">
                  <c:v>-1.2243476025398026</c:v>
                </c:pt>
                <c:pt idx="8">
                  <c:v>-1.5808215689861078</c:v>
                </c:pt>
                <c:pt idx="9">
                  <c:v>-2.0406676576282323</c:v>
                </c:pt>
                <c:pt idx="10">
                  <c:v>-2.6333831881896952</c:v>
                </c:pt>
                <c:pt idx="11">
                  <c:v>-3.3963336258794485</c:v>
                </c:pt>
                <c:pt idx="12">
                  <c:v>-4.3762221027729824</c:v>
                </c:pt>
                <c:pt idx="13">
                  <c:v>-5.6300870940832253</c:v>
                </c:pt>
                <c:pt idx="14">
                  <c:v>-7.2247783274739241</c:v>
                </c:pt>
                <c:pt idx="15">
                  <c:v>-9.2328003535889565</c:v>
                </c:pt>
                <c:pt idx="16">
                  <c:v>-11.720811135798376</c:v>
                </c:pt>
                <c:pt idx="17">
                  <c:v>-14.725601414767167</c:v>
                </c:pt>
                <c:pt idx="18">
                  <c:v>-18.213918570553634</c:v>
                </c:pt>
                <c:pt idx="19">
                  <c:v>-22.033207740748662</c:v>
                </c:pt>
                <c:pt idx="20">
                  <c:v>-25.884514980694671</c:v>
                </c:pt>
                <c:pt idx="21">
                  <c:v>-29.370375809424029</c:v>
                </c:pt>
                <c:pt idx="22">
                  <c:v>-32.144871583042224</c:v>
                </c:pt>
                <c:pt idx="23">
                  <c:v>-34.105035516159369</c:v>
                </c:pt>
                <c:pt idx="24">
                  <c:v>-35.494452579919546</c:v>
                </c:pt>
                <c:pt idx="25">
                  <c:v>-36.834497348211187</c:v>
                </c:pt>
                <c:pt idx="26">
                  <c:v>-38.723310658026548</c:v>
                </c:pt>
                <c:pt idx="27">
                  <c:v>-41.623440502181452</c:v>
                </c:pt>
                <c:pt idx="28">
                  <c:v>-45.728821182312132</c:v>
                </c:pt>
                <c:pt idx="29">
                  <c:v>-50.929734061683199</c:v>
                </c:pt>
                <c:pt idx="30">
                  <c:v>-56.870011530607698</c:v>
                </c:pt>
                <c:pt idx="31">
                  <c:v>-63.086554848843718</c:v>
                </c:pt>
                <c:pt idx="32">
                  <c:v>-69.180338494513734</c:v>
                </c:pt>
                <c:pt idx="33">
                  <c:v>-74.938485681741625</c:v>
                </c:pt>
                <c:pt idx="34">
                  <c:v>-80.372729548548506</c:v>
                </c:pt>
                <c:pt idx="35">
                  <c:v>-85.708148169763433</c:v>
                </c:pt>
                <c:pt idx="36">
                  <c:v>-91.367502080427883</c:v>
                </c:pt>
                <c:pt idx="37">
                  <c:v>-97.943703917778876</c:v>
                </c:pt>
                <c:pt idx="38">
                  <c:v>-106.06094911808023</c:v>
                </c:pt>
                <c:pt idx="39">
                  <c:v>-115.97901406926681</c:v>
                </c:pt>
                <c:pt idx="40">
                  <c:v>-127.08181325054585</c:v>
                </c:pt>
                <c:pt idx="41">
                  <c:v>-137.97570963565101</c:v>
                </c:pt>
                <c:pt idx="42">
                  <c:v>-147.42442257079855</c:v>
                </c:pt>
                <c:pt idx="43">
                  <c:v>-154.98594142772575</c:v>
                </c:pt>
                <c:pt idx="44">
                  <c:v>-160.81468518019398</c:v>
                </c:pt>
                <c:pt idx="45">
                  <c:v>-165.25816055603022</c:v>
                </c:pt>
                <c:pt idx="46">
                  <c:v>-168.64676905224883</c:v>
                </c:pt>
                <c:pt idx="47">
                  <c:v>-171.24034540105876</c:v>
                </c:pt>
                <c:pt idx="48">
                  <c:v>-173.23270134979035</c:v>
                </c:pt>
                <c:pt idx="49">
                  <c:v>-174.7674836756334</c:v>
                </c:pt>
                <c:pt idx="50">
                  <c:v>-175.95203160027827</c:v>
                </c:pt>
                <c:pt idx="51">
                  <c:v>-176.8673893639446</c:v>
                </c:pt>
                <c:pt idx="52">
                  <c:v>-177.57527315430104</c:v>
                </c:pt>
                <c:pt idx="53">
                  <c:v>-178.12296668702297</c:v>
                </c:pt>
                <c:pt idx="54">
                  <c:v>-178.54684157993486</c:v>
                </c:pt>
              </c:numCache>
            </c:numRef>
          </c:yVal>
          <c:smooth val="1"/>
          <c:extLst>
            <c:ext xmlns:c16="http://schemas.microsoft.com/office/drawing/2014/chart" uri="{C3380CC4-5D6E-409C-BE32-E72D297353CC}">
              <c16:uniqueId val="{00000002-5D47-4D12-9481-0731AA5F86FA}"/>
            </c:ext>
          </c:extLst>
        </c:ser>
        <c:dLbls>
          <c:showLegendKey val="0"/>
          <c:showVal val="0"/>
          <c:showCatName val="0"/>
          <c:showSerName val="0"/>
          <c:showPercent val="0"/>
          <c:showBubbleSize val="0"/>
        </c:dLbls>
        <c:axId val="283589248"/>
        <c:axId val="283586944"/>
      </c:scatterChart>
      <c:valAx>
        <c:axId val="283349376"/>
        <c:scaling>
          <c:logBase val="10"/>
          <c:orientation val="minMax"/>
        </c:scaling>
        <c:delete val="0"/>
        <c:axPos val="b"/>
        <c:majorGridlines/>
        <c:minorGridlines/>
        <c:numFmt formatCode="General" sourceLinked="1"/>
        <c:majorTickMark val="out"/>
        <c:minorTickMark val="cross"/>
        <c:tickLblPos val="low"/>
        <c:crossAx val="283350912"/>
        <c:crosses val="autoZero"/>
        <c:crossBetween val="midCat"/>
      </c:valAx>
      <c:valAx>
        <c:axId val="283350912"/>
        <c:scaling>
          <c:orientation val="minMax"/>
          <c:min val="-40"/>
        </c:scaling>
        <c:delete val="0"/>
        <c:axPos val="l"/>
        <c:majorGridlines/>
        <c:numFmt formatCode="General" sourceLinked="1"/>
        <c:majorTickMark val="out"/>
        <c:minorTickMark val="none"/>
        <c:tickLblPos val="nextTo"/>
        <c:crossAx val="283349376"/>
        <c:crosses val="autoZero"/>
        <c:crossBetween val="midCat"/>
        <c:majorUnit val="20"/>
      </c:valAx>
      <c:valAx>
        <c:axId val="283586944"/>
        <c:scaling>
          <c:orientation val="minMax"/>
          <c:max val="180"/>
          <c:min val="-180"/>
        </c:scaling>
        <c:delete val="0"/>
        <c:axPos val="r"/>
        <c:numFmt formatCode="General" sourceLinked="1"/>
        <c:majorTickMark val="out"/>
        <c:minorTickMark val="none"/>
        <c:tickLblPos val="nextTo"/>
        <c:crossAx val="283589248"/>
        <c:crosses val="max"/>
        <c:crossBetween val="midCat"/>
        <c:majorUnit val="45"/>
      </c:valAx>
      <c:valAx>
        <c:axId val="283589248"/>
        <c:scaling>
          <c:logBase val="10"/>
          <c:orientation val="minMax"/>
        </c:scaling>
        <c:delete val="1"/>
        <c:axPos val="b"/>
        <c:numFmt formatCode="General" sourceLinked="1"/>
        <c:majorTickMark val="out"/>
        <c:minorTickMark val="none"/>
        <c:tickLblPos val="nextTo"/>
        <c:crossAx val="283586944"/>
        <c:crosses val="autoZero"/>
        <c:crossBetween val="midCat"/>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Buck Mode Voltage Loop  </a:t>
            </a:r>
            <a:endParaRPr lang="en-US"/>
          </a:p>
        </c:rich>
      </c:tx>
      <c:overlay val="0"/>
    </c:title>
    <c:autoTitleDeleted val="0"/>
    <c:plotArea>
      <c:layout/>
      <c:scatterChart>
        <c:scatterStyle val="lineMarker"/>
        <c:varyColors val="0"/>
        <c:ser>
          <c:idx val="0"/>
          <c:order val="0"/>
          <c:tx>
            <c:v>Gain</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Compensation!$Z$79:$Z$133</c:f>
              <c:numCache>
                <c:formatCode>General</c:formatCode>
                <c:ptCount val="55"/>
                <c:pt idx="0">
                  <c:v>75.013202699002676</c:v>
                </c:pt>
                <c:pt idx="1">
                  <c:v>72.790920497848347</c:v>
                </c:pt>
                <c:pt idx="2">
                  <c:v>70.568598227976281</c:v>
                </c:pt>
                <c:pt idx="3">
                  <c:v>68.346209125227261</c:v>
                </c:pt>
                <c:pt idx="4">
                  <c:v>66.123708554581043</c:v>
                </c:pt>
                <c:pt idx="5">
                  <c:v>63.901022088954996</c:v>
                </c:pt>
                <c:pt idx="6">
                  <c:v>61.678025656086994</c:v>
                </c:pt>
                <c:pt idx="7">
                  <c:v>59.45451251226384</c:v>
                </c:pt>
                <c:pt idx="8">
                  <c:v>57.230138403113607</c:v>
                </c:pt>
                <c:pt idx="9">
                  <c:v>55.004330784921208</c:v>
                </c:pt>
                <c:pt idx="10">
                  <c:v>52.776139329608974</c:v>
                </c:pt>
                <c:pt idx="11">
                  <c:v>50.543991879791541</c:v>
                </c:pt>
                <c:pt idx="12">
                  <c:v>48.305301949454886</c:v>
                </c:pt>
                <c:pt idx="13">
                  <c:v>46.05585354220522</c:v>
                </c:pt>
                <c:pt idx="14">
                  <c:v>43.788880272269182</c:v>
                </c:pt>
                <c:pt idx="15">
                  <c:v>41.49380154772841</c:v>
                </c:pt>
                <c:pt idx="16">
                  <c:v>39.15478483183238</c:v>
                </c:pt>
                <c:pt idx="17">
                  <c:v>36.749867386663936</c:v>
                </c:pt>
                <c:pt idx="18">
                  <c:v>34.252481617450762</c:v>
                </c:pt>
                <c:pt idx="19">
                  <c:v>31.63851565619067</c:v>
                </c:pt>
                <c:pt idx="20">
                  <c:v>28.901516752387032</c:v>
                </c:pt>
                <c:pt idx="21">
                  <c:v>26.07310457724121</c:v>
                </c:pt>
                <c:pt idx="22">
                  <c:v>23.236173507726683</c:v>
                </c:pt>
                <c:pt idx="23">
                  <c:v>20.515392468156577</c:v>
                </c:pt>
                <c:pt idx="24">
                  <c:v>18.04142411953924</c:v>
                </c:pt>
                <c:pt idx="25">
                  <c:v>15.903699719206536</c:v>
                </c:pt>
                <c:pt idx="26">
                  <c:v>14.115677841964684</c:v>
                </c:pt>
                <c:pt idx="27">
                  <c:v>12.609885763821953</c:v>
                </c:pt>
                <c:pt idx="28">
                  <c:v>11.263160082137489</c:v>
                </c:pt>
                <c:pt idx="29">
                  <c:v>9.9381280711982978</c:v>
                </c:pt>
                <c:pt idx="30">
                  <c:v>8.5232506730218667</c:v>
                </c:pt>
                <c:pt idx="31">
                  <c:v>6.9571496619891713</c:v>
                </c:pt>
                <c:pt idx="32">
                  <c:v>5.2301574317252388</c:v>
                </c:pt>
                <c:pt idx="33">
                  <c:v>3.3678345830043726</c:v>
                </c:pt>
                <c:pt idx="34">
                  <c:v>1.4094356509895813</c:v>
                </c:pt>
                <c:pt idx="35">
                  <c:v>-0.60971549240362388</c:v>
                </c:pt>
                <c:pt idx="36">
                  <c:v>-2.6734884013700517</c:v>
                </c:pt>
                <c:pt idx="37">
                  <c:v>-4.8061109776184914</c:v>
                </c:pt>
                <c:pt idx="38">
                  <c:v>-7.1029793482608969</c:v>
                </c:pt>
                <c:pt idx="39">
                  <c:v>-9.7477855967331468</c:v>
                </c:pt>
                <c:pt idx="40">
                  <c:v>-12.955759372333011</c:v>
                </c:pt>
                <c:pt idx="41">
                  <c:v>-16.84163835113943</c:v>
                </c:pt>
                <c:pt idx="42">
                  <c:v>-21.364419312949714</c:v>
                </c:pt>
                <c:pt idx="43">
                  <c:v>-26.4127666112493</c:v>
                </c:pt>
                <c:pt idx="44">
                  <c:v>-31.886059285370276</c:v>
                </c:pt>
                <c:pt idx="45">
                  <c:v>-37.703356885289409</c:v>
                </c:pt>
                <c:pt idx="46">
                  <c:v>-43.790037656283019</c:v>
                </c:pt>
                <c:pt idx="47">
                  <c:v>-50.075611732563715</c:v>
                </c:pt>
                <c:pt idx="48">
                  <c:v>-56.49941131485528</c:v>
                </c:pt>
                <c:pt idx="49">
                  <c:v>-63.014656055328295</c:v>
                </c:pt>
                <c:pt idx="50">
                  <c:v>-69.588291970903796</c:v>
                </c:pt>
                <c:pt idx="51">
                  <c:v>-76.198339386089728</c:v>
                </c:pt>
                <c:pt idx="52">
                  <c:v>-82.830749978760167</c:v>
                </c:pt>
                <c:pt idx="53">
                  <c:v>-89.476765984862908</c:v>
                </c:pt>
                <c:pt idx="54">
                  <c:v>-96.1310112645088</c:v>
                </c:pt>
              </c:numCache>
            </c:numRef>
          </c:yVal>
          <c:smooth val="0"/>
          <c:extLst>
            <c:ext xmlns:c16="http://schemas.microsoft.com/office/drawing/2014/chart" uri="{C3380CC4-5D6E-409C-BE32-E72D297353CC}">
              <c16:uniqueId val="{00000000-9D9E-4838-B6D9-10CD83C82979}"/>
            </c:ext>
          </c:extLst>
        </c:ser>
        <c:ser>
          <c:idx val="2"/>
          <c:order val="2"/>
          <c:tx>
            <c:v>FPPlant</c:v>
          </c:tx>
          <c:spPr>
            <a:ln>
              <a:solidFill>
                <a:schemeClr val="tx1"/>
              </a:solidFill>
            </a:ln>
          </c:spPr>
          <c:marker>
            <c:symbol val="x"/>
            <c:size val="9"/>
            <c:spPr>
              <a:noFill/>
              <a:ln w="31750">
                <a:solidFill>
                  <a:srgbClr val="FF0000"/>
                </a:solidFill>
              </a:ln>
            </c:spPr>
          </c:marker>
          <c:dPt>
            <c:idx val="0"/>
            <c:marker>
              <c:symbol val="x"/>
              <c:size val="12"/>
            </c:marker>
            <c:bubble3D val="0"/>
            <c:spPr>
              <a:ln w="25400">
                <a:solidFill>
                  <a:schemeClr val="tx1"/>
                </a:solidFill>
              </a:ln>
            </c:spPr>
            <c:extLst>
              <c:ext xmlns:c16="http://schemas.microsoft.com/office/drawing/2014/chart" uri="{C3380CC4-5D6E-409C-BE32-E72D297353CC}">
                <c16:uniqueId val="{00000002-9D9E-4838-B6D9-10CD83C82979}"/>
              </c:ext>
            </c:extLst>
          </c:dPt>
          <c:dLbls>
            <c:dLbl>
              <c:idx val="0"/>
              <c:tx>
                <c:rich>
                  <a:bodyPr/>
                  <a:lstStyle/>
                  <a:p>
                    <a:r>
                      <a:rPr lang="en-US" sz="1400" b="1"/>
                      <a:t>F</a:t>
                    </a:r>
                    <a:r>
                      <a:rPr lang="en-US" sz="1400" b="1" baseline="-25000"/>
                      <a:t>Pplant</a:t>
                    </a:r>
                  </a:p>
                </c:rich>
              </c:tx>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9D9E-4838-B6D9-10CD83C82979}"/>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Compensation!$B$137</c:f>
              <c:numCache>
                <c:formatCode>0.00</c:formatCode>
                <c:ptCount val="1"/>
                <c:pt idx="0">
                  <c:v>834.72872250994067</c:v>
                </c:pt>
              </c:numCache>
            </c:numRef>
          </c:xVal>
          <c:yVal>
            <c:numRef>
              <c:f>Compensation!$Z$137</c:f>
              <c:numCache>
                <c:formatCode>General</c:formatCode>
                <c:ptCount val="1"/>
                <c:pt idx="0">
                  <c:v>13.648610278645473</c:v>
                </c:pt>
              </c:numCache>
            </c:numRef>
          </c:yVal>
          <c:smooth val="0"/>
          <c:extLst>
            <c:ext xmlns:c16="http://schemas.microsoft.com/office/drawing/2014/chart" uri="{C3380CC4-5D6E-409C-BE32-E72D297353CC}">
              <c16:uniqueId val="{00000003-9D9E-4838-B6D9-10CD83C82979}"/>
            </c:ext>
          </c:extLst>
        </c:ser>
        <c:ser>
          <c:idx val="3"/>
          <c:order val="3"/>
          <c:tx>
            <c:v>Fzcomp</c:v>
          </c:tx>
          <c:marker>
            <c:symbol val="circle"/>
            <c:size val="9"/>
            <c:spPr>
              <a:noFill/>
              <a:ln w="22225">
                <a:solidFill>
                  <a:schemeClr val="tx1"/>
                </a:solidFill>
              </a:ln>
            </c:spPr>
          </c:marker>
          <c:dLbls>
            <c:dLbl>
              <c:idx val="0"/>
              <c:tx>
                <c:rich>
                  <a:bodyPr/>
                  <a:lstStyle/>
                  <a:p>
                    <a:r>
                      <a:rPr lang="en-US" sz="1400" b="1"/>
                      <a:t>F</a:t>
                    </a:r>
                    <a:r>
                      <a:rPr lang="en-US" sz="1400" b="1" baseline="-25000"/>
                      <a:t>Zcomp</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9D9E-4838-B6D9-10CD83C82979}"/>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Compensation!$B$135</c:f>
              <c:numCache>
                <c:formatCode>General</c:formatCode>
                <c:ptCount val="1"/>
                <c:pt idx="0">
                  <c:v>636.61977236758128</c:v>
                </c:pt>
              </c:numCache>
            </c:numRef>
          </c:xVal>
          <c:yVal>
            <c:numRef>
              <c:f>Compensation!$Z$135</c:f>
              <c:numCache>
                <c:formatCode>General</c:formatCode>
                <c:ptCount val="1"/>
                <c:pt idx="0">
                  <c:v>15.453501093628672</c:v>
                </c:pt>
              </c:numCache>
            </c:numRef>
          </c:yVal>
          <c:smooth val="0"/>
          <c:extLst>
            <c:ext xmlns:c16="http://schemas.microsoft.com/office/drawing/2014/chart" uri="{C3380CC4-5D6E-409C-BE32-E72D297353CC}">
              <c16:uniqueId val="{00000005-9D9E-4838-B6D9-10CD83C82979}"/>
            </c:ext>
          </c:extLst>
        </c:ser>
        <c:ser>
          <c:idx val="4"/>
          <c:order val="4"/>
          <c:tx>
            <c:v>Fpcomp</c:v>
          </c:tx>
          <c:marker>
            <c:symbol val="x"/>
            <c:size val="10"/>
            <c:spPr>
              <a:ln w="25400">
                <a:solidFill>
                  <a:schemeClr val="tx1"/>
                </a:solidFill>
              </a:ln>
            </c:spPr>
          </c:marker>
          <c:dLbls>
            <c:dLbl>
              <c:idx val="0"/>
              <c:tx>
                <c:rich>
                  <a:bodyPr/>
                  <a:lstStyle/>
                  <a:p>
                    <a:r>
                      <a:rPr lang="en-US" sz="1200" b="1"/>
                      <a:t>F</a:t>
                    </a:r>
                    <a:r>
                      <a:rPr lang="en-US" sz="1200" b="1" baseline="-25000"/>
                      <a:t>Pcomp</a:t>
                    </a:r>
                    <a:endParaRPr lang="en-US" b="1" baseline="-25000"/>
                  </a:p>
                </c:rich>
              </c:tx>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9D9E-4838-B6D9-10CD83C82979}"/>
                </c:ext>
              </c:extLst>
            </c:dLbl>
            <c:spPr>
              <a:noFill/>
              <a:ln>
                <a:noFill/>
              </a:ln>
              <a:effectLst/>
            </c:spPr>
            <c:txPr>
              <a:bodyPr/>
              <a:lstStyle/>
              <a:p>
                <a:pPr>
                  <a:defRPr sz="1200"/>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Compensation!$B$136</c:f>
              <c:numCache>
                <c:formatCode>General</c:formatCode>
                <c:ptCount val="1"/>
                <c:pt idx="0">
                  <c:v>63661.977236758132</c:v>
                </c:pt>
              </c:numCache>
            </c:numRef>
          </c:xVal>
          <c:yVal>
            <c:numRef>
              <c:f>Compensation!$Z$136</c:f>
              <c:numCache>
                <c:formatCode>General</c:formatCode>
                <c:ptCount val="1"/>
                <c:pt idx="0">
                  <c:v>-27.663572736673512</c:v>
                </c:pt>
              </c:numCache>
            </c:numRef>
          </c:yVal>
          <c:smooth val="0"/>
          <c:extLst>
            <c:ext xmlns:c16="http://schemas.microsoft.com/office/drawing/2014/chart" uri="{C3380CC4-5D6E-409C-BE32-E72D297353CC}">
              <c16:uniqueId val="{00000007-9D9E-4838-B6D9-10CD83C82979}"/>
            </c:ext>
          </c:extLst>
        </c:ser>
        <c:dLbls>
          <c:showLegendKey val="0"/>
          <c:showVal val="0"/>
          <c:showCatName val="0"/>
          <c:showSerName val="0"/>
          <c:showPercent val="0"/>
          <c:showBubbleSize val="0"/>
        </c:dLbls>
        <c:axId val="284427008"/>
        <c:axId val="284672000"/>
      </c:scatterChart>
      <c:scatterChart>
        <c:scatterStyle val="lineMarker"/>
        <c:varyColors val="0"/>
        <c:ser>
          <c:idx val="1"/>
          <c:order val="1"/>
          <c:tx>
            <c:v>Phase</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Compensation!$AA$79:$AA$133</c:f>
              <c:numCache>
                <c:formatCode>General</c:formatCode>
                <c:ptCount val="55"/>
                <c:pt idx="0">
                  <c:v>89.884784258209436</c:v>
                </c:pt>
                <c:pt idx="1">
                  <c:v>89.851195334475534</c:v>
                </c:pt>
                <c:pt idx="2">
                  <c:v>89.807816096091713</c:v>
                </c:pt>
                <c:pt idx="3">
                  <c:v>89.751795094431728</c:v>
                </c:pt>
                <c:pt idx="4">
                  <c:v>89.679452905341449</c:v>
                </c:pt>
                <c:pt idx="5">
                  <c:v>89.586044613237362</c:v>
                </c:pt>
                <c:pt idx="6">
                  <c:v>89.465457519838722</c:v>
                </c:pt>
                <c:pt idx="7">
                  <c:v>89.309830337183357</c:v>
                </c:pt>
                <c:pt idx="8">
                  <c:v>89.109082011174394</c:v>
                </c:pt>
                <c:pt idx="9">
                  <c:v>88.850347440278099</c:v>
                </c:pt>
                <c:pt idx="10">
                  <c:v>88.517343215812943</c:v>
                </c:pt>
                <c:pt idx="11">
                  <c:v>88.089749157344954</c:v>
                </c:pt>
                <c:pt idx="12">
                  <c:v>87.542831473996443</c:v>
                </c:pt>
                <c:pt idx="13">
                  <c:v>86.84782835481262</c:v>
                </c:pt>
                <c:pt idx="14">
                  <c:v>85.974200647258698</c:v>
                </c:pt>
                <c:pt idx="15">
                  <c:v>84.89589022811424</c:v>
                </c:pt>
                <c:pt idx="16">
                  <c:v>83.605264494462872</c:v>
                </c:pt>
                <c:pt idx="17">
                  <c:v>82.139721727339065</c:v>
                </c:pt>
                <c:pt idx="18">
                  <c:v>80.62402745936015</c:v>
                </c:pt>
                <c:pt idx="19">
                  <c:v>79.320001272011353</c:v>
                </c:pt>
                <c:pt idx="20">
                  <c:v>78.649662201067869</c:v>
                </c:pt>
                <c:pt idx="21">
                  <c:v>79.134380400567551</c:v>
                </c:pt>
                <c:pt idx="22">
                  <c:v>81.216519554563817</c:v>
                </c:pt>
                <c:pt idx="23">
                  <c:v>85.020103639625646</c:v>
                </c:pt>
                <c:pt idx="24">
                  <c:v>90.187702936337132</c:v>
                </c:pt>
                <c:pt idx="25">
                  <c:v>95.910539525211036</c:v>
                </c:pt>
                <c:pt idx="26">
                  <c:v>101.15885157512454</c:v>
                </c:pt>
                <c:pt idx="27">
                  <c:v>105.00390563300904</c:v>
                </c:pt>
                <c:pt idx="28">
                  <c:v>106.8812266199852</c:v>
                </c:pt>
                <c:pt idx="29">
                  <c:v>106.69514180357206</c:v>
                </c:pt>
                <c:pt idx="30">
                  <c:v>104.74888657880562</c:v>
                </c:pt>
                <c:pt idx="31">
                  <c:v>101.54861946691247</c:v>
                </c:pt>
                <c:pt idx="32">
                  <c:v>97.575230538326934</c:v>
                </c:pt>
                <c:pt idx="33">
                  <c:v>93.122899657160161</c:v>
                </c:pt>
                <c:pt idx="34">
                  <c:v>88.238947451010915</c:v>
                </c:pt>
                <c:pt idx="35">
                  <c:v>82.725098065334763</c:v>
                </c:pt>
                <c:pt idx="36">
                  <c:v>76.149780014710686</c:v>
                </c:pt>
                <c:pt idx="37">
                  <c:v>67.87668936047119</c:v>
                </c:pt>
                <c:pt idx="38">
                  <c:v>57.209816973696491</c:v>
                </c:pt>
                <c:pt idx="39">
                  <c:v>43.804121840903967</c:v>
                </c:pt>
                <c:pt idx="40">
                  <c:v>28.206718931155812</c:v>
                </c:pt>
                <c:pt idx="41">
                  <c:v>11.807494966705166</c:v>
                </c:pt>
                <c:pt idx="42">
                  <c:v>-4.0349914157707039</c:v>
                </c:pt>
                <c:pt idx="43">
                  <c:v>-18.589131700675985</c:v>
                </c:pt>
                <c:pt idx="44">
                  <c:v>-31.577896569592887</c:v>
                </c:pt>
                <c:pt idx="45">
                  <c:v>-42.882463084791461</c:v>
                </c:pt>
                <c:pt idx="46">
                  <c:v>-52.463194280704442</c:v>
                </c:pt>
                <c:pt idx="47">
                  <c:v>-60.379356066422396</c:v>
                </c:pt>
                <c:pt idx="48">
                  <c:v>-66.784395487900824</c:v>
                </c:pt>
                <c:pt idx="49">
                  <c:v>-71.887202510657175</c:v>
                </c:pt>
                <c:pt idx="50">
                  <c:v>-75.909798258135424</c:v>
                </c:pt>
                <c:pt idx="51">
                  <c:v>-79.059147077638869</c:v>
                </c:pt>
                <c:pt idx="52">
                  <c:v>-81.514175924851116</c:v>
                </c:pt>
                <c:pt idx="53">
                  <c:v>-83.422851401829632</c:v>
                </c:pt>
                <c:pt idx="54">
                  <c:v>-84.904343391914168</c:v>
                </c:pt>
              </c:numCache>
            </c:numRef>
          </c:yVal>
          <c:smooth val="0"/>
          <c:extLst>
            <c:ext xmlns:c16="http://schemas.microsoft.com/office/drawing/2014/chart" uri="{C3380CC4-5D6E-409C-BE32-E72D297353CC}">
              <c16:uniqueId val="{00000008-9D9E-4838-B6D9-10CD83C82979}"/>
            </c:ext>
          </c:extLst>
        </c:ser>
        <c:dLbls>
          <c:showLegendKey val="0"/>
          <c:showVal val="0"/>
          <c:showCatName val="0"/>
          <c:showSerName val="0"/>
          <c:showPercent val="0"/>
          <c:showBubbleSize val="0"/>
        </c:dLbls>
        <c:axId val="340130432"/>
        <c:axId val="340128128"/>
      </c:scatterChart>
      <c:valAx>
        <c:axId val="284427008"/>
        <c:scaling>
          <c:logBase val="10"/>
          <c:orientation val="minMax"/>
          <c:min val="10"/>
        </c:scaling>
        <c:delete val="0"/>
        <c:axPos val="b"/>
        <c:majorGridlines/>
        <c:minorGridlines/>
        <c:title>
          <c:tx>
            <c:rich>
              <a:bodyPr/>
              <a:lstStyle/>
              <a:p>
                <a:pPr>
                  <a:defRPr/>
                </a:pPr>
                <a:r>
                  <a:rPr lang="en-US"/>
                  <a:t>Frequency</a:t>
                </a:r>
                <a:r>
                  <a:rPr lang="en-US" baseline="0"/>
                  <a:t> (Hz)</a:t>
                </a:r>
                <a:endParaRPr lang="en-US"/>
              </a:p>
            </c:rich>
          </c:tx>
          <c:overlay val="0"/>
        </c:title>
        <c:numFmt formatCode="General" sourceLinked="1"/>
        <c:majorTickMark val="out"/>
        <c:minorTickMark val="cross"/>
        <c:tickLblPos val="low"/>
        <c:crossAx val="284672000"/>
        <c:crosses val="autoZero"/>
        <c:crossBetween val="midCat"/>
      </c:valAx>
      <c:valAx>
        <c:axId val="284672000"/>
        <c:scaling>
          <c:orientation val="minMax"/>
          <c:max val="60"/>
          <c:min val="-40"/>
        </c:scaling>
        <c:delete val="0"/>
        <c:axPos val="l"/>
        <c:majorGridlines/>
        <c:title>
          <c:tx>
            <c:rich>
              <a:bodyPr rot="-5400000" vert="horz"/>
              <a:lstStyle/>
              <a:p>
                <a:pPr>
                  <a:defRPr/>
                </a:pPr>
                <a:r>
                  <a:rPr lang="en-US"/>
                  <a:t>Loop Gain (dB)</a:t>
                </a:r>
              </a:p>
            </c:rich>
          </c:tx>
          <c:overlay val="0"/>
        </c:title>
        <c:numFmt formatCode="General" sourceLinked="1"/>
        <c:majorTickMark val="out"/>
        <c:minorTickMark val="none"/>
        <c:tickLblPos val="nextTo"/>
        <c:crossAx val="284427008"/>
        <c:crosses val="autoZero"/>
        <c:crossBetween val="midCat"/>
        <c:majorUnit val="20"/>
      </c:valAx>
      <c:valAx>
        <c:axId val="340128128"/>
        <c:scaling>
          <c:orientation val="minMax"/>
          <c:max val="180"/>
          <c:min val="-180"/>
        </c:scaling>
        <c:delete val="0"/>
        <c:axPos val="r"/>
        <c:title>
          <c:tx>
            <c:rich>
              <a:bodyPr rot="-5400000" vert="horz"/>
              <a:lstStyle/>
              <a:p>
                <a:pPr>
                  <a:defRPr/>
                </a:pPr>
                <a:r>
                  <a:rPr lang="en-US"/>
                  <a:t>Loop Phase Margin (deg)</a:t>
                </a:r>
              </a:p>
            </c:rich>
          </c:tx>
          <c:overlay val="0"/>
        </c:title>
        <c:numFmt formatCode="General" sourceLinked="1"/>
        <c:majorTickMark val="out"/>
        <c:minorTickMark val="none"/>
        <c:tickLblPos val="nextTo"/>
        <c:crossAx val="340130432"/>
        <c:crosses val="max"/>
        <c:crossBetween val="midCat"/>
        <c:majorUnit val="45"/>
      </c:valAx>
      <c:valAx>
        <c:axId val="340130432"/>
        <c:scaling>
          <c:logBase val="10"/>
          <c:orientation val="minMax"/>
        </c:scaling>
        <c:delete val="1"/>
        <c:axPos val="b"/>
        <c:numFmt formatCode="General" sourceLinked="1"/>
        <c:majorTickMark val="out"/>
        <c:minorTickMark val="none"/>
        <c:tickLblPos val="nextTo"/>
        <c:crossAx val="340128128"/>
        <c:crosses val="autoZero"/>
        <c:crossBetween val="midCat"/>
      </c:valAx>
    </c:plotArea>
    <c:legend>
      <c:legendPos val="l"/>
      <c:legendEntry>
        <c:idx val="1"/>
        <c:delete val="1"/>
      </c:legendEntry>
      <c:legendEntry>
        <c:idx val="2"/>
        <c:delete val="1"/>
      </c:legendEntry>
      <c:legendEntry>
        <c:idx val="3"/>
        <c:delete val="1"/>
      </c:legendEntry>
      <c:layout>
        <c:manualLayout>
          <c:xMode val="edge"/>
          <c:yMode val="edge"/>
          <c:x val="0.79304241813100085"/>
          <c:y val="2.6664513567886527E-2"/>
          <c:w val="0.11678001490904641"/>
          <c:h val="9.5033720657239265E-2"/>
        </c:manualLayout>
      </c:layout>
      <c:overlay val="1"/>
      <c:spPr>
        <a:noFill/>
      </c:sp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B</a:t>
            </a:r>
            <a:r>
              <a:rPr lang="en-US" altLang="zh-CN" baseline="0"/>
              <a:t>oost</a:t>
            </a:r>
            <a:r>
              <a:rPr lang="en-US" baseline="0"/>
              <a:t> Mode Voltage Loop  </a:t>
            </a:r>
            <a:endParaRPr lang="en-US"/>
          </a:p>
        </c:rich>
      </c:tx>
      <c:overlay val="0"/>
    </c:title>
    <c:autoTitleDeleted val="0"/>
    <c:plotArea>
      <c:layout/>
      <c:scatterChart>
        <c:scatterStyle val="lineMarker"/>
        <c:varyColors val="0"/>
        <c:ser>
          <c:idx val="0"/>
          <c:order val="0"/>
          <c:tx>
            <c:v>Gain</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Compensation!$Z$169:$Z$223</c:f>
              <c:numCache>
                <c:formatCode>General</c:formatCode>
                <c:ptCount val="55"/>
                <c:pt idx="0">
                  <c:v>63.769693828765881</c:v>
                </c:pt>
                <c:pt idx="1">
                  <c:v>61.548016209639044</c:v>
                </c:pt>
                <c:pt idx="2">
                  <c:v>59.326702201545189</c:v>
                </c:pt>
                <c:pt idx="3">
                  <c:v>57.105994308321357</c:v>
                </c:pt>
                <c:pt idx="4">
                  <c:v>54.886296294833855</c:v>
                </c:pt>
                <c:pt idx="5">
                  <c:v>52.668279583459466</c:v>
                </c:pt>
                <c:pt idx="6">
                  <c:v>50.453058361169411</c:v>
                </c:pt>
                <c:pt idx="7">
                  <c:v>48.242475142931525</c:v>
                </c:pt>
                <c:pt idx="8">
                  <c:v>46.039559262656198</c:v>
                </c:pt>
                <c:pt idx="9">
                  <c:v>43.849243444629181</c:v>
                </c:pt>
                <c:pt idx="10">
                  <c:v>41.679431369224417</c:v>
                </c:pt>
                <c:pt idx="11">
                  <c:v>39.542451157086923</c:v>
                </c:pt>
                <c:pt idx="12">
                  <c:v>37.456686317481513</c:v>
                </c:pt>
                <c:pt idx="13">
                  <c:v>35.447543562131955</c:v>
                </c:pt>
                <c:pt idx="14">
                  <c:v>33.545776458267667</c:v>
                </c:pt>
                <c:pt idx="15">
                  <c:v>31.780180025408512</c:v>
                </c:pt>
                <c:pt idx="16">
                  <c:v>30.16318818467138</c:v>
                </c:pt>
                <c:pt idx="17">
                  <c:v>28.674630373149949</c:v>
                </c:pt>
                <c:pt idx="18">
                  <c:v>27.257080753379338</c:v>
                </c:pt>
                <c:pt idx="19">
                  <c:v>25.833346990003271</c:v>
                </c:pt>
                <c:pt idx="20">
                  <c:v>24.338585403125961</c:v>
                </c:pt>
                <c:pt idx="21">
                  <c:v>22.744452006394841</c:v>
                </c:pt>
                <c:pt idx="22">
                  <c:v>21.059062861821644</c:v>
                </c:pt>
                <c:pt idx="23">
                  <c:v>19.306783732771024</c:v>
                </c:pt>
                <c:pt idx="24">
                  <c:v>17.504957706381695</c:v>
                </c:pt>
                <c:pt idx="25">
                  <c:v>15.653434906944497</c:v>
                </c:pt>
                <c:pt idx="26">
                  <c:v>13.741476779316791</c:v>
                </c:pt>
                <c:pt idx="27">
                  <c:v>11.762073584208155</c:v>
                </c:pt>
                <c:pt idx="28">
                  <c:v>9.7197738121152817</c:v>
                </c:pt>
                <c:pt idx="29">
                  <c:v>7.6287766635692043</c:v>
                </c:pt>
                <c:pt idx="30">
                  <c:v>5.5074906560912131</c:v>
                </c:pt>
                <c:pt idx="31">
                  <c:v>3.3750065273123568</c:v>
                </c:pt>
                <c:pt idx="32">
                  <c:v>1.2504544898275614</c:v>
                </c:pt>
                <c:pt idx="33">
                  <c:v>-0.84627802797779916</c:v>
                </c:pt>
                <c:pt idx="34">
                  <c:v>-2.8948816393425969</c:v>
                </c:pt>
                <c:pt idx="35">
                  <c:v>-4.8794754335468564</c:v>
                </c:pt>
                <c:pt idx="36">
                  <c:v>-6.8026630520907441</c:v>
                </c:pt>
                <c:pt idx="37">
                  <c:v>-8.7118443531111254</c:v>
                </c:pt>
                <c:pt idx="38">
                  <c:v>-10.729881732656137</c:v>
                </c:pt>
                <c:pt idx="39">
                  <c:v>-13.056716526502301</c:v>
                </c:pt>
                <c:pt idx="40">
                  <c:v>-15.890645170903806</c:v>
                </c:pt>
                <c:pt idx="41">
                  <c:v>-19.293349609551758</c:v>
                </c:pt>
                <c:pt idx="42">
                  <c:v>-23.154703814518491</c:v>
                </c:pt>
                <c:pt idx="43">
                  <c:v>-27.302014925548299</c:v>
                </c:pt>
                <c:pt idx="44">
                  <c:v>-31.6005355478142</c:v>
                </c:pt>
                <c:pt idx="45">
                  <c:v>-35.972839119934669</c:v>
                </c:pt>
                <c:pt idx="46">
                  <c:v>-40.380484624287327</c:v>
                </c:pt>
                <c:pt idx="47">
                  <c:v>-44.805404192797752</c:v>
                </c:pt>
                <c:pt idx="48">
                  <c:v>-49.239104085763628</c:v>
                </c:pt>
                <c:pt idx="49">
                  <c:v>-53.67746330149523</c:v>
                </c:pt>
                <c:pt idx="50">
                  <c:v>-58.1183900438511</c:v>
                </c:pt>
                <c:pt idx="51">
                  <c:v>-62.560773022757317</c:v>
                </c:pt>
                <c:pt idx="52">
                  <c:v>-67.003998776298317</c:v>
                </c:pt>
                <c:pt idx="53">
                  <c:v>-71.447718813337616</c:v>
                </c:pt>
                <c:pt idx="54">
                  <c:v>-75.891731212629082</c:v>
                </c:pt>
              </c:numCache>
            </c:numRef>
          </c:yVal>
          <c:smooth val="0"/>
          <c:extLst>
            <c:ext xmlns:c16="http://schemas.microsoft.com/office/drawing/2014/chart" uri="{C3380CC4-5D6E-409C-BE32-E72D297353CC}">
              <c16:uniqueId val="{00000000-14C2-42E9-A41D-CEC5331D2AE6}"/>
            </c:ext>
          </c:extLst>
        </c:ser>
        <c:ser>
          <c:idx val="2"/>
          <c:order val="2"/>
          <c:tx>
            <c:v>FPPlant</c:v>
          </c:tx>
          <c:spPr>
            <a:ln>
              <a:solidFill>
                <a:schemeClr val="tx1"/>
              </a:solidFill>
            </a:ln>
          </c:spPr>
          <c:marker>
            <c:symbol val="x"/>
            <c:size val="9"/>
            <c:spPr>
              <a:noFill/>
              <a:ln w="31750">
                <a:solidFill>
                  <a:srgbClr val="FF0000"/>
                </a:solidFill>
              </a:ln>
            </c:spPr>
          </c:marker>
          <c:dPt>
            <c:idx val="0"/>
            <c:marker>
              <c:symbol val="x"/>
              <c:size val="12"/>
            </c:marker>
            <c:bubble3D val="0"/>
            <c:spPr>
              <a:ln w="25400">
                <a:solidFill>
                  <a:schemeClr val="tx1"/>
                </a:solidFill>
              </a:ln>
            </c:spPr>
            <c:extLst>
              <c:ext xmlns:c16="http://schemas.microsoft.com/office/drawing/2014/chart" uri="{C3380CC4-5D6E-409C-BE32-E72D297353CC}">
                <c16:uniqueId val="{00000002-14C2-42E9-A41D-CEC5331D2AE6}"/>
              </c:ext>
            </c:extLst>
          </c:dPt>
          <c:dLbls>
            <c:dLbl>
              <c:idx val="0"/>
              <c:tx>
                <c:rich>
                  <a:bodyPr/>
                  <a:lstStyle/>
                  <a:p>
                    <a:r>
                      <a:rPr lang="en-US" sz="1400" b="1"/>
                      <a:t>F</a:t>
                    </a:r>
                    <a:r>
                      <a:rPr lang="en-US" sz="1400" b="1" baseline="-25000"/>
                      <a:t>Pplant</a:t>
                    </a:r>
                  </a:p>
                </c:rich>
              </c:tx>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14C2-42E9-A41D-CEC5331D2AE6}"/>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Compensation!$B$227</c:f>
              <c:numCache>
                <c:formatCode>General</c:formatCode>
                <c:ptCount val="1"/>
                <c:pt idx="0">
                  <c:v>165.78639905405765</c:v>
                </c:pt>
              </c:numCache>
            </c:numRef>
          </c:xVal>
          <c:yVal>
            <c:numRef>
              <c:f>Compensation!$Z$227</c:f>
              <c:numCache>
                <c:formatCode>General</c:formatCode>
                <c:ptCount val="1"/>
                <c:pt idx="0">
                  <c:v>24.375684952246942</c:v>
                </c:pt>
              </c:numCache>
            </c:numRef>
          </c:yVal>
          <c:smooth val="0"/>
          <c:extLst>
            <c:ext xmlns:c16="http://schemas.microsoft.com/office/drawing/2014/chart" uri="{C3380CC4-5D6E-409C-BE32-E72D297353CC}">
              <c16:uniqueId val="{00000003-14C2-42E9-A41D-CEC5331D2AE6}"/>
            </c:ext>
          </c:extLst>
        </c:ser>
        <c:ser>
          <c:idx val="3"/>
          <c:order val="3"/>
          <c:tx>
            <c:v>Fzcomp</c:v>
          </c:tx>
          <c:marker>
            <c:symbol val="circle"/>
            <c:size val="9"/>
            <c:spPr>
              <a:noFill/>
              <a:ln w="22225">
                <a:solidFill>
                  <a:schemeClr val="tx1"/>
                </a:solidFill>
              </a:ln>
            </c:spPr>
          </c:marker>
          <c:dLbls>
            <c:dLbl>
              <c:idx val="0"/>
              <c:tx>
                <c:rich>
                  <a:bodyPr/>
                  <a:lstStyle/>
                  <a:p>
                    <a:r>
                      <a:rPr lang="en-US" sz="1400" b="1"/>
                      <a:t>F</a:t>
                    </a:r>
                    <a:r>
                      <a:rPr lang="en-US" sz="1400" b="1" baseline="-25000"/>
                      <a:t>Zcomp</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14C2-42E9-A41D-CEC5331D2AE6}"/>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Compensation!$B$225</c:f>
              <c:numCache>
                <c:formatCode>0.00</c:formatCode>
                <c:ptCount val="1"/>
                <c:pt idx="0">
                  <c:v>64.305027511876901</c:v>
                </c:pt>
              </c:numCache>
            </c:numRef>
          </c:xVal>
          <c:yVal>
            <c:numRef>
              <c:f>Compensation!$Z$225</c:f>
              <c:numCache>
                <c:formatCode>General</c:formatCode>
                <c:ptCount val="1"/>
                <c:pt idx="0">
                  <c:v>29.744042816613355</c:v>
                </c:pt>
              </c:numCache>
            </c:numRef>
          </c:yVal>
          <c:smooth val="0"/>
          <c:extLst>
            <c:ext xmlns:c16="http://schemas.microsoft.com/office/drawing/2014/chart" uri="{C3380CC4-5D6E-409C-BE32-E72D297353CC}">
              <c16:uniqueId val="{00000005-14C2-42E9-A41D-CEC5331D2AE6}"/>
            </c:ext>
          </c:extLst>
        </c:ser>
        <c:ser>
          <c:idx val="4"/>
          <c:order val="4"/>
          <c:tx>
            <c:v>Fpcomp</c:v>
          </c:tx>
          <c:marker>
            <c:symbol val="x"/>
            <c:size val="10"/>
            <c:spPr>
              <a:ln w="25400">
                <a:solidFill>
                  <a:schemeClr val="tx1"/>
                </a:solidFill>
              </a:ln>
            </c:spPr>
          </c:marker>
          <c:dLbls>
            <c:dLbl>
              <c:idx val="0"/>
              <c:tx>
                <c:rich>
                  <a:bodyPr/>
                  <a:lstStyle/>
                  <a:p>
                    <a:r>
                      <a:rPr lang="en-US" sz="1200" b="1"/>
                      <a:t>F</a:t>
                    </a:r>
                    <a:r>
                      <a:rPr lang="en-US" sz="1200" b="1" baseline="-25000"/>
                      <a:t>Pcomp</a:t>
                    </a:r>
                    <a:endParaRPr lang="en-US" b="1" baseline="-25000"/>
                  </a:p>
                </c:rich>
              </c:tx>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14C2-42E9-A41D-CEC5331D2AE6}"/>
                </c:ext>
              </c:extLst>
            </c:dLbl>
            <c:spPr>
              <a:noFill/>
              <a:ln>
                <a:noFill/>
              </a:ln>
              <a:effectLst/>
            </c:spPr>
            <c:txPr>
              <a:bodyPr/>
              <a:lstStyle/>
              <a:p>
                <a:pPr>
                  <a:defRPr sz="1200"/>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Compensation!$B$226</c:f>
              <c:numCache>
                <c:formatCode>General</c:formatCode>
                <c:ptCount val="1"/>
                <c:pt idx="0">
                  <c:v>21220.65907891938</c:v>
                </c:pt>
              </c:numCache>
            </c:numRef>
          </c:xVal>
          <c:yVal>
            <c:numRef>
              <c:f>Compensation!$Z$226</c:f>
              <c:numCache>
                <c:formatCode>General</c:formatCode>
                <c:ptCount val="1"/>
                <c:pt idx="0">
                  <c:v>-12.906467284692535</c:v>
                </c:pt>
              </c:numCache>
            </c:numRef>
          </c:yVal>
          <c:smooth val="0"/>
          <c:extLst>
            <c:ext xmlns:c16="http://schemas.microsoft.com/office/drawing/2014/chart" uri="{C3380CC4-5D6E-409C-BE32-E72D297353CC}">
              <c16:uniqueId val="{00000007-14C2-42E9-A41D-CEC5331D2AE6}"/>
            </c:ext>
          </c:extLst>
        </c:ser>
        <c:ser>
          <c:idx val="5"/>
          <c:order val="5"/>
          <c:tx>
            <c:v>FRHPZERO</c:v>
          </c:tx>
          <c:spPr>
            <a:ln>
              <a:solidFill>
                <a:srgbClr val="FFC000"/>
              </a:solidFill>
            </a:ln>
          </c:spPr>
          <c:marker>
            <c:symbol val="circle"/>
            <c:size val="10"/>
            <c:spPr>
              <a:noFill/>
              <a:ln w="28575">
                <a:solidFill>
                  <a:srgbClr val="FF0000"/>
                </a:solidFill>
              </a:ln>
            </c:spPr>
          </c:marker>
          <c:dLbls>
            <c:dLbl>
              <c:idx val="0"/>
              <c:tx>
                <c:rich>
                  <a:bodyPr/>
                  <a:lstStyle/>
                  <a:p>
                    <a:r>
                      <a:rPr lang="en-US" sz="1400" b="1"/>
                      <a:t>F</a:t>
                    </a:r>
                    <a:r>
                      <a:rPr lang="en-US" sz="1400" b="1" baseline="-25000"/>
                      <a:t>RHPzero</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14C2-42E9-A41D-CEC5331D2AE6}"/>
                </c:ext>
              </c:extLst>
            </c:dLbl>
            <c:spPr>
              <a:noFill/>
              <a:ln>
                <a:noFill/>
              </a:ln>
              <a:effectLst/>
            </c:spPr>
            <c:txPr>
              <a:bodyPr/>
              <a:lstStyle/>
              <a:p>
                <a:pPr>
                  <a:defRPr sz="1400"/>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Compensation!$B$228</c:f>
              <c:numCache>
                <c:formatCode>General</c:formatCode>
                <c:ptCount val="1"/>
                <c:pt idx="0">
                  <c:v>11951.560182119802</c:v>
                </c:pt>
              </c:numCache>
            </c:numRef>
          </c:xVal>
          <c:yVal>
            <c:numRef>
              <c:f>Compensation!$Z$228</c:f>
              <c:numCache>
                <c:formatCode>General</c:formatCode>
                <c:ptCount val="1"/>
                <c:pt idx="0">
                  <c:v>-8.1288763927964318</c:v>
                </c:pt>
              </c:numCache>
            </c:numRef>
          </c:yVal>
          <c:smooth val="0"/>
          <c:extLst>
            <c:ext xmlns:c16="http://schemas.microsoft.com/office/drawing/2014/chart" uri="{C3380CC4-5D6E-409C-BE32-E72D297353CC}">
              <c16:uniqueId val="{00000009-14C2-42E9-A41D-CEC5331D2AE6}"/>
            </c:ext>
          </c:extLst>
        </c:ser>
        <c:dLbls>
          <c:showLegendKey val="0"/>
          <c:showVal val="0"/>
          <c:showCatName val="0"/>
          <c:showSerName val="0"/>
          <c:showPercent val="0"/>
          <c:showBubbleSize val="0"/>
        </c:dLbls>
        <c:axId val="178864896"/>
        <c:axId val="178866816"/>
      </c:scatterChart>
      <c:scatterChart>
        <c:scatterStyle val="lineMarker"/>
        <c:varyColors val="0"/>
        <c:ser>
          <c:idx val="1"/>
          <c:order val="1"/>
          <c:tx>
            <c:v>Phase</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Compensation!$AA$169:$AA$223</c:f>
              <c:numCache>
                <c:formatCode>General</c:formatCode>
                <c:ptCount val="55"/>
                <c:pt idx="0">
                  <c:v>90.481459708711014</c:v>
                </c:pt>
                <c:pt idx="1">
                  <c:v>90.621773986968648</c:v>
                </c:pt>
                <c:pt idx="2">
                  <c:v>90.802933225822997</c:v>
                </c:pt>
                <c:pt idx="3">
                  <c:v>91.036772401562658</c:v>
                </c:pt>
                <c:pt idx="4">
                  <c:v>91.338492512041114</c:v>
                </c:pt>
                <c:pt idx="5">
                  <c:v>91.72754501660107</c:v>
                </c:pt>
                <c:pt idx="6">
                  <c:v>92.228663746330511</c:v>
                </c:pt>
                <c:pt idx="7">
                  <c:v>92.872963694944019</c:v>
                </c:pt>
                <c:pt idx="8">
                  <c:v>93.698869690132412</c:v>
                </c:pt>
                <c:pt idx="9">
                  <c:v>94.752306667787039</c:v>
                </c:pt>
                <c:pt idx="10">
                  <c:v>96.0849342681677</c:v>
                </c:pt>
                <c:pt idx="11">
                  <c:v>97.748075576268462</c:v>
                </c:pt>
                <c:pt idx="12">
                  <c:v>99.778418010834102</c:v>
                </c:pt>
                <c:pt idx="13">
                  <c:v>102.17058765105133</c:v>
                </c:pt>
                <c:pt idx="14">
                  <c:v>104.83487112646888</c:v>
                </c:pt>
                <c:pt idx="15">
                  <c:v>107.55212281392249</c:v>
                </c:pt>
                <c:pt idx="16">
                  <c:v>109.96343084638021</c:v>
                </c:pt>
                <c:pt idx="17">
                  <c:v>111.64494210960993</c:v>
                </c:pt>
                <c:pt idx="18">
                  <c:v>112.27158554275545</c:v>
                </c:pt>
                <c:pt idx="19">
                  <c:v>111.77578047011545</c:v>
                </c:pt>
                <c:pt idx="20">
                  <c:v>110.37054879369086</c:v>
                </c:pt>
                <c:pt idx="21">
                  <c:v>108.40635239263177</c:v>
                </c:pt>
                <c:pt idx="22">
                  <c:v>106.17003750281319</c:v>
                </c:pt>
                <c:pt idx="23">
                  <c:v>103.76520282529764</c:v>
                </c:pt>
                <c:pt idx="24">
                  <c:v>101.13062392618511</c:v>
                </c:pt>
                <c:pt idx="25">
                  <c:v>98.152030243067912</c:v>
                </c:pt>
                <c:pt idx="26">
                  <c:v>94.763514633672358</c:v>
                </c:pt>
                <c:pt idx="27">
                  <c:v>90.958648174851163</c:v>
                </c:pt>
                <c:pt idx="28">
                  <c:v>86.727829839130663</c:v>
                </c:pt>
                <c:pt idx="29">
                  <c:v>81.995112576774233</c:v>
                </c:pt>
                <c:pt idx="30">
                  <c:v>76.593596488330007</c:v>
                </c:pt>
                <c:pt idx="31">
                  <c:v>70.269968451232728</c:v>
                </c:pt>
                <c:pt idx="32">
                  <c:v>62.699131282056591</c:v>
                </c:pt>
                <c:pt idx="33">
                  <c:v>53.502880513812556</c:v>
                </c:pt>
                <c:pt idx="34">
                  <c:v>42.278720662696983</c:v>
                </c:pt>
                <c:pt idx="35">
                  <c:v>28.648732827927883</c:v>
                </c:pt>
                <c:pt idx="36">
                  <c:v>12.333044629328629</c:v>
                </c:pt>
                <c:pt idx="37">
                  <c:v>-6.7538846445821612</c:v>
                </c:pt>
                <c:pt idx="38">
                  <c:v>-28.363977455224667</c:v>
                </c:pt>
                <c:pt idx="39">
                  <c:v>-51.679101414315447</c:v>
                </c:pt>
                <c:pt idx="40">
                  <c:v>-75.110024467782367</c:v>
                </c:pt>
                <c:pt idx="41">
                  <c:v>-96.671538592034878</c:v>
                </c:pt>
                <c:pt idx="42">
                  <c:v>-114.95751432804728</c:v>
                </c:pt>
                <c:pt idx="43">
                  <c:v>-129.63511963130682</c:v>
                </c:pt>
                <c:pt idx="44">
                  <c:v>-141.09520039614475</c:v>
                </c:pt>
                <c:pt idx="45">
                  <c:v>-149.95088727928874</c:v>
                </c:pt>
                <c:pt idx="46">
                  <c:v>-156.77783437316191</c:v>
                </c:pt>
                <c:pt idx="47">
                  <c:v>-162.0430981805371</c:v>
                </c:pt>
                <c:pt idx="48">
                  <c:v>-166.10820609119608</c:v>
                </c:pt>
                <c:pt idx="49">
                  <c:v>-169.2496992532848</c:v>
                </c:pt>
                <c:pt idx="50">
                  <c:v>-171.67910288024854</c:v>
                </c:pt>
                <c:pt idx="51">
                  <c:v>-173.55868952140642</c:v>
                </c:pt>
                <c:pt idx="52">
                  <c:v>-175.0133162990098</c:v>
                </c:pt>
                <c:pt idx="53">
                  <c:v>-176.1392667796199</c:v>
                </c:pt>
                <c:pt idx="54">
                  <c:v>-177.01090246289854</c:v>
                </c:pt>
              </c:numCache>
            </c:numRef>
          </c:yVal>
          <c:smooth val="0"/>
          <c:extLst>
            <c:ext xmlns:c16="http://schemas.microsoft.com/office/drawing/2014/chart" uri="{C3380CC4-5D6E-409C-BE32-E72D297353CC}">
              <c16:uniqueId val="{0000000A-14C2-42E9-A41D-CEC5331D2AE6}"/>
            </c:ext>
          </c:extLst>
        </c:ser>
        <c:dLbls>
          <c:showLegendKey val="0"/>
          <c:showVal val="0"/>
          <c:showCatName val="0"/>
          <c:showSerName val="0"/>
          <c:showPercent val="0"/>
          <c:showBubbleSize val="0"/>
        </c:dLbls>
        <c:axId val="178879104"/>
        <c:axId val="178877184"/>
      </c:scatterChart>
      <c:valAx>
        <c:axId val="178864896"/>
        <c:scaling>
          <c:logBase val="10"/>
          <c:orientation val="minMax"/>
          <c:min val="10"/>
        </c:scaling>
        <c:delete val="0"/>
        <c:axPos val="b"/>
        <c:majorGridlines/>
        <c:minorGridlines/>
        <c:title>
          <c:tx>
            <c:rich>
              <a:bodyPr/>
              <a:lstStyle/>
              <a:p>
                <a:pPr>
                  <a:defRPr/>
                </a:pPr>
                <a:r>
                  <a:rPr lang="en-US"/>
                  <a:t>Frequency</a:t>
                </a:r>
                <a:r>
                  <a:rPr lang="en-US" baseline="0"/>
                  <a:t> (Hz)</a:t>
                </a:r>
                <a:endParaRPr lang="en-US"/>
              </a:p>
            </c:rich>
          </c:tx>
          <c:overlay val="0"/>
        </c:title>
        <c:numFmt formatCode="General" sourceLinked="1"/>
        <c:majorTickMark val="out"/>
        <c:minorTickMark val="cross"/>
        <c:tickLblPos val="low"/>
        <c:crossAx val="178866816"/>
        <c:crosses val="autoZero"/>
        <c:crossBetween val="midCat"/>
      </c:valAx>
      <c:valAx>
        <c:axId val="178866816"/>
        <c:scaling>
          <c:orientation val="minMax"/>
          <c:max val="60"/>
          <c:min val="-40"/>
        </c:scaling>
        <c:delete val="0"/>
        <c:axPos val="l"/>
        <c:majorGridlines/>
        <c:title>
          <c:tx>
            <c:rich>
              <a:bodyPr rot="-5400000" vert="horz"/>
              <a:lstStyle/>
              <a:p>
                <a:pPr>
                  <a:defRPr/>
                </a:pPr>
                <a:r>
                  <a:rPr lang="en-US"/>
                  <a:t>Loop Gain (dB)</a:t>
                </a:r>
              </a:p>
            </c:rich>
          </c:tx>
          <c:overlay val="0"/>
        </c:title>
        <c:numFmt formatCode="General" sourceLinked="1"/>
        <c:majorTickMark val="out"/>
        <c:minorTickMark val="none"/>
        <c:tickLblPos val="nextTo"/>
        <c:crossAx val="178864896"/>
        <c:crosses val="autoZero"/>
        <c:crossBetween val="midCat"/>
        <c:majorUnit val="20"/>
      </c:valAx>
      <c:valAx>
        <c:axId val="178877184"/>
        <c:scaling>
          <c:orientation val="minMax"/>
          <c:max val="180"/>
          <c:min val="-180"/>
        </c:scaling>
        <c:delete val="0"/>
        <c:axPos val="r"/>
        <c:title>
          <c:tx>
            <c:rich>
              <a:bodyPr rot="-5400000" vert="horz"/>
              <a:lstStyle/>
              <a:p>
                <a:pPr>
                  <a:defRPr/>
                </a:pPr>
                <a:r>
                  <a:rPr lang="en-US"/>
                  <a:t>Loop Phase Margin (deg)</a:t>
                </a:r>
              </a:p>
            </c:rich>
          </c:tx>
          <c:overlay val="0"/>
        </c:title>
        <c:numFmt formatCode="General" sourceLinked="1"/>
        <c:majorTickMark val="out"/>
        <c:minorTickMark val="none"/>
        <c:tickLblPos val="nextTo"/>
        <c:crossAx val="178879104"/>
        <c:crosses val="max"/>
        <c:crossBetween val="midCat"/>
        <c:majorUnit val="45"/>
      </c:valAx>
      <c:valAx>
        <c:axId val="178879104"/>
        <c:scaling>
          <c:logBase val="10"/>
          <c:orientation val="minMax"/>
        </c:scaling>
        <c:delete val="1"/>
        <c:axPos val="b"/>
        <c:numFmt formatCode="General" sourceLinked="1"/>
        <c:majorTickMark val="out"/>
        <c:minorTickMark val="none"/>
        <c:tickLblPos val="nextTo"/>
        <c:crossAx val="178877184"/>
        <c:crosses val="autoZero"/>
        <c:crossBetween val="midCat"/>
      </c:valAx>
    </c:plotArea>
    <c:legend>
      <c:legendPos val="l"/>
      <c:legendEntry>
        <c:idx val="1"/>
        <c:delete val="1"/>
      </c:legendEntry>
      <c:legendEntry>
        <c:idx val="2"/>
        <c:delete val="1"/>
      </c:legendEntry>
      <c:legendEntry>
        <c:idx val="3"/>
        <c:delete val="1"/>
      </c:legendEntry>
      <c:legendEntry>
        <c:idx val="4"/>
        <c:delete val="1"/>
      </c:legendEntry>
      <c:layout>
        <c:manualLayout>
          <c:xMode val="edge"/>
          <c:yMode val="edge"/>
          <c:x val="0.79304241813100085"/>
          <c:y val="2.6664513567886527E-2"/>
          <c:w val="9.4543330754408461E-2"/>
          <c:h val="0.12361639853858421"/>
        </c:manualLayout>
      </c:layout>
      <c:overlay val="1"/>
      <c:spPr>
        <a:noFill/>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Buck Mode Voltage Loop</a:t>
            </a:r>
            <a:endParaRPr lang="en-US"/>
          </a:p>
        </c:rich>
      </c:tx>
      <c:overlay val="0"/>
    </c:title>
    <c:autoTitleDeleted val="0"/>
    <c:plotArea>
      <c:layout/>
      <c:scatterChart>
        <c:scatterStyle val="lineMarker"/>
        <c:varyColors val="0"/>
        <c:ser>
          <c:idx val="0"/>
          <c:order val="0"/>
          <c:tx>
            <c:v>Gain</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Compensation!$Z$79:$Z$133</c:f>
              <c:numCache>
                <c:formatCode>General</c:formatCode>
                <c:ptCount val="55"/>
                <c:pt idx="0">
                  <c:v>75.013202699002676</c:v>
                </c:pt>
                <c:pt idx="1">
                  <c:v>72.790920497848347</c:v>
                </c:pt>
                <c:pt idx="2">
                  <c:v>70.568598227976281</c:v>
                </c:pt>
                <c:pt idx="3">
                  <c:v>68.346209125227261</c:v>
                </c:pt>
                <c:pt idx="4">
                  <c:v>66.123708554581043</c:v>
                </c:pt>
                <c:pt idx="5">
                  <c:v>63.901022088954996</c:v>
                </c:pt>
                <c:pt idx="6">
                  <c:v>61.678025656086994</c:v>
                </c:pt>
                <c:pt idx="7">
                  <c:v>59.45451251226384</c:v>
                </c:pt>
                <c:pt idx="8">
                  <c:v>57.230138403113607</c:v>
                </c:pt>
                <c:pt idx="9">
                  <c:v>55.004330784921208</c:v>
                </c:pt>
                <c:pt idx="10">
                  <c:v>52.776139329608974</c:v>
                </c:pt>
                <c:pt idx="11">
                  <c:v>50.543991879791541</c:v>
                </c:pt>
                <c:pt idx="12">
                  <c:v>48.305301949454886</c:v>
                </c:pt>
                <c:pt idx="13">
                  <c:v>46.05585354220522</c:v>
                </c:pt>
                <c:pt idx="14">
                  <c:v>43.788880272269182</c:v>
                </c:pt>
                <c:pt idx="15">
                  <c:v>41.49380154772841</c:v>
                </c:pt>
                <c:pt idx="16">
                  <c:v>39.15478483183238</c:v>
                </c:pt>
                <c:pt idx="17">
                  <c:v>36.749867386663936</c:v>
                </c:pt>
                <c:pt idx="18">
                  <c:v>34.252481617450762</c:v>
                </c:pt>
                <c:pt idx="19">
                  <c:v>31.63851565619067</c:v>
                </c:pt>
                <c:pt idx="20">
                  <c:v>28.901516752387032</c:v>
                </c:pt>
                <c:pt idx="21">
                  <c:v>26.07310457724121</c:v>
                </c:pt>
                <c:pt idx="22">
                  <c:v>23.236173507726683</c:v>
                </c:pt>
                <c:pt idx="23">
                  <c:v>20.515392468156577</c:v>
                </c:pt>
                <c:pt idx="24">
                  <c:v>18.04142411953924</c:v>
                </c:pt>
                <c:pt idx="25">
                  <c:v>15.903699719206536</c:v>
                </c:pt>
                <c:pt idx="26">
                  <c:v>14.115677841964684</c:v>
                </c:pt>
                <c:pt idx="27">
                  <c:v>12.609885763821953</c:v>
                </c:pt>
                <c:pt idx="28">
                  <c:v>11.263160082137489</c:v>
                </c:pt>
                <c:pt idx="29">
                  <c:v>9.9381280711982978</c:v>
                </c:pt>
                <c:pt idx="30">
                  <c:v>8.5232506730218667</c:v>
                </c:pt>
                <c:pt idx="31">
                  <c:v>6.9571496619891713</c:v>
                </c:pt>
                <c:pt idx="32">
                  <c:v>5.2301574317252388</c:v>
                </c:pt>
                <c:pt idx="33">
                  <c:v>3.3678345830043726</c:v>
                </c:pt>
                <c:pt idx="34">
                  <c:v>1.4094356509895813</c:v>
                </c:pt>
                <c:pt idx="35">
                  <c:v>-0.60971549240362388</c:v>
                </c:pt>
                <c:pt idx="36">
                  <c:v>-2.6734884013700517</c:v>
                </c:pt>
                <c:pt idx="37">
                  <c:v>-4.8061109776184914</c:v>
                </c:pt>
                <c:pt idx="38">
                  <c:v>-7.1029793482608969</c:v>
                </c:pt>
                <c:pt idx="39">
                  <c:v>-9.7477855967331468</c:v>
                </c:pt>
                <c:pt idx="40">
                  <c:v>-12.955759372333011</c:v>
                </c:pt>
                <c:pt idx="41">
                  <c:v>-16.84163835113943</c:v>
                </c:pt>
                <c:pt idx="42">
                  <c:v>-21.364419312949714</c:v>
                </c:pt>
                <c:pt idx="43">
                  <c:v>-26.4127666112493</c:v>
                </c:pt>
                <c:pt idx="44">
                  <c:v>-31.886059285370276</c:v>
                </c:pt>
                <c:pt idx="45">
                  <c:v>-37.703356885289409</c:v>
                </c:pt>
                <c:pt idx="46">
                  <c:v>-43.790037656283019</c:v>
                </c:pt>
                <c:pt idx="47">
                  <c:v>-50.075611732563715</c:v>
                </c:pt>
                <c:pt idx="48">
                  <c:v>-56.49941131485528</c:v>
                </c:pt>
                <c:pt idx="49">
                  <c:v>-63.014656055328295</c:v>
                </c:pt>
                <c:pt idx="50">
                  <c:v>-69.588291970903796</c:v>
                </c:pt>
                <c:pt idx="51">
                  <c:v>-76.198339386089728</c:v>
                </c:pt>
                <c:pt idx="52">
                  <c:v>-82.830749978760167</c:v>
                </c:pt>
                <c:pt idx="53">
                  <c:v>-89.476765984862908</c:v>
                </c:pt>
                <c:pt idx="54">
                  <c:v>-96.1310112645088</c:v>
                </c:pt>
              </c:numCache>
            </c:numRef>
          </c:yVal>
          <c:smooth val="0"/>
          <c:extLst>
            <c:ext xmlns:c16="http://schemas.microsoft.com/office/drawing/2014/chart" uri="{C3380CC4-5D6E-409C-BE32-E72D297353CC}">
              <c16:uniqueId val="{00000000-31F7-45AC-AAD3-C931682B7E76}"/>
            </c:ext>
          </c:extLst>
        </c:ser>
        <c:ser>
          <c:idx val="2"/>
          <c:order val="2"/>
          <c:tx>
            <c:v>FPPlant</c:v>
          </c:tx>
          <c:spPr>
            <a:ln>
              <a:solidFill>
                <a:schemeClr val="tx1"/>
              </a:solidFill>
            </a:ln>
          </c:spPr>
          <c:marker>
            <c:symbol val="x"/>
            <c:size val="9"/>
            <c:spPr>
              <a:noFill/>
              <a:ln w="31750">
                <a:solidFill>
                  <a:srgbClr val="FF0000"/>
                </a:solidFill>
              </a:ln>
            </c:spPr>
          </c:marker>
          <c:dPt>
            <c:idx val="0"/>
            <c:marker>
              <c:symbol val="x"/>
              <c:size val="12"/>
            </c:marker>
            <c:bubble3D val="0"/>
            <c:spPr>
              <a:ln w="25400">
                <a:solidFill>
                  <a:schemeClr val="tx1"/>
                </a:solidFill>
              </a:ln>
            </c:spPr>
            <c:extLst>
              <c:ext xmlns:c16="http://schemas.microsoft.com/office/drawing/2014/chart" uri="{C3380CC4-5D6E-409C-BE32-E72D297353CC}">
                <c16:uniqueId val="{00000002-31F7-45AC-AAD3-C931682B7E76}"/>
              </c:ext>
            </c:extLst>
          </c:dPt>
          <c:dLbls>
            <c:dLbl>
              <c:idx val="0"/>
              <c:tx>
                <c:rich>
                  <a:bodyPr/>
                  <a:lstStyle/>
                  <a:p>
                    <a:r>
                      <a:rPr lang="en-US" sz="1400" b="1"/>
                      <a:t>F</a:t>
                    </a:r>
                    <a:r>
                      <a:rPr lang="en-US" sz="1400" b="1" baseline="-25000"/>
                      <a:t>Pplant</a:t>
                    </a:r>
                  </a:p>
                </c:rich>
              </c:tx>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1F7-45AC-AAD3-C931682B7E76}"/>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Compensation!$B$137</c:f>
              <c:numCache>
                <c:formatCode>0.00</c:formatCode>
                <c:ptCount val="1"/>
                <c:pt idx="0">
                  <c:v>834.72872250994067</c:v>
                </c:pt>
              </c:numCache>
            </c:numRef>
          </c:xVal>
          <c:yVal>
            <c:numRef>
              <c:f>Compensation!$Z$137</c:f>
              <c:numCache>
                <c:formatCode>General</c:formatCode>
                <c:ptCount val="1"/>
                <c:pt idx="0">
                  <c:v>13.648610278645473</c:v>
                </c:pt>
              </c:numCache>
            </c:numRef>
          </c:yVal>
          <c:smooth val="0"/>
          <c:extLst>
            <c:ext xmlns:c16="http://schemas.microsoft.com/office/drawing/2014/chart" uri="{C3380CC4-5D6E-409C-BE32-E72D297353CC}">
              <c16:uniqueId val="{00000003-31F7-45AC-AAD3-C931682B7E76}"/>
            </c:ext>
          </c:extLst>
        </c:ser>
        <c:ser>
          <c:idx val="3"/>
          <c:order val="3"/>
          <c:tx>
            <c:v>Fzcomp</c:v>
          </c:tx>
          <c:marker>
            <c:symbol val="circle"/>
            <c:size val="9"/>
            <c:spPr>
              <a:noFill/>
              <a:ln w="22225">
                <a:solidFill>
                  <a:schemeClr val="tx1"/>
                </a:solidFill>
              </a:ln>
            </c:spPr>
          </c:marker>
          <c:dLbls>
            <c:dLbl>
              <c:idx val="0"/>
              <c:tx>
                <c:rich>
                  <a:bodyPr/>
                  <a:lstStyle/>
                  <a:p>
                    <a:r>
                      <a:rPr lang="en-US" sz="1400" b="1"/>
                      <a:t>F</a:t>
                    </a:r>
                    <a:r>
                      <a:rPr lang="en-US" sz="1400" b="1" baseline="-25000"/>
                      <a:t>Zcomp</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31F7-45AC-AAD3-C931682B7E76}"/>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Compensation!$B$135</c:f>
              <c:numCache>
                <c:formatCode>General</c:formatCode>
                <c:ptCount val="1"/>
                <c:pt idx="0">
                  <c:v>636.61977236758128</c:v>
                </c:pt>
              </c:numCache>
            </c:numRef>
          </c:xVal>
          <c:yVal>
            <c:numRef>
              <c:f>Compensation!$Z$135</c:f>
              <c:numCache>
                <c:formatCode>General</c:formatCode>
                <c:ptCount val="1"/>
                <c:pt idx="0">
                  <c:v>15.453501093628672</c:v>
                </c:pt>
              </c:numCache>
            </c:numRef>
          </c:yVal>
          <c:smooth val="0"/>
          <c:extLst>
            <c:ext xmlns:c16="http://schemas.microsoft.com/office/drawing/2014/chart" uri="{C3380CC4-5D6E-409C-BE32-E72D297353CC}">
              <c16:uniqueId val="{00000005-31F7-45AC-AAD3-C931682B7E76}"/>
            </c:ext>
          </c:extLst>
        </c:ser>
        <c:ser>
          <c:idx val="4"/>
          <c:order val="4"/>
          <c:tx>
            <c:v>Fpcomp</c:v>
          </c:tx>
          <c:marker>
            <c:symbol val="x"/>
            <c:size val="10"/>
            <c:spPr>
              <a:ln w="25400">
                <a:solidFill>
                  <a:schemeClr val="tx1"/>
                </a:solidFill>
              </a:ln>
            </c:spPr>
          </c:marker>
          <c:dLbls>
            <c:dLbl>
              <c:idx val="0"/>
              <c:tx>
                <c:rich>
                  <a:bodyPr/>
                  <a:lstStyle/>
                  <a:p>
                    <a:r>
                      <a:rPr lang="en-US" sz="1200" b="1"/>
                      <a:t>F</a:t>
                    </a:r>
                    <a:r>
                      <a:rPr lang="en-US" sz="1200" b="1" baseline="-25000"/>
                      <a:t>Pcomp</a:t>
                    </a:r>
                    <a:endParaRPr lang="en-US" b="1" baseline="-25000"/>
                  </a:p>
                </c:rich>
              </c:tx>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31F7-45AC-AAD3-C931682B7E76}"/>
                </c:ext>
              </c:extLst>
            </c:dLbl>
            <c:spPr>
              <a:noFill/>
              <a:ln>
                <a:noFill/>
              </a:ln>
              <a:effectLst/>
            </c:spPr>
            <c:txPr>
              <a:bodyPr/>
              <a:lstStyle/>
              <a:p>
                <a:pPr>
                  <a:defRPr sz="1200"/>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Compensation!$B$136</c:f>
              <c:numCache>
                <c:formatCode>General</c:formatCode>
                <c:ptCount val="1"/>
                <c:pt idx="0">
                  <c:v>63661.977236758132</c:v>
                </c:pt>
              </c:numCache>
            </c:numRef>
          </c:xVal>
          <c:yVal>
            <c:numRef>
              <c:f>Compensation!$Z$136</c:f>
              <c:numCache>
                <c:formatCode>General</c:formatCode>
                <c:ptCount val="1"/>
                <c:pt idx="0">
                  <c:v>-27.663572736673512</c:v>
                </c:pt>
              </c:numCache>
            </c:numRef>
          </c:yVal>
          <c:smooth val="0"/>
          <c:extLst>
            <c:ext xmlns:c16="http://schemas.microsoft.com/office/drawing/2014/chart" uri="{C3380CC4-5D6E-409C-BE32-E72D297353CC}">
              <c16:uniqueId val="{00000007-31F7-45AC-AAD3-C931682B7E76}"/>
            </c:ext>
          </c:extLst>
        </c:ser>
        <c:dLbls>
          <c:showLegendKey val="0"/>
          <c:showVal val="0"/>
          <c:showCatName val="0"/>
          <c:showSerName val="0"/>
          <c:showPercent val="0"/>
          <c:showBubbleSize val="0"/>
        </c:dLbls>
        <c:axId val="187990400"/>
        <c:axId val="187992320"/>
      </c:scatterChart>
      <c:scatterChart>
        <c:scatterStyle val="lineMarker"/>
        <c:varyColors val="0"/>
        <c:ser>
          <c:idx val="1"/>
          <c:order val="1"/>
          <c:tx>
            <c:v>Phase</c:v>
          </c:tx>
          <c:marker>
            <c:symbol val="none"/>
          </c:marker>
          <c:xVal>
            <c:numRef>
              <c:f>Compensation!$B$79:$B$133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Compensation!$AA$79:$AA$133</c:f>
              <c:numCache>
                <c:formatCode>General</c:formatCode>
                <c:ptCount val="55"/>
                <c:pt idx="0">
                  <c:v>89.884784258209436</c:v>
                </c:pt>
                <c:pt idx="1">
                  <c:v>89.851195334475534</c:v>
                </c:pt>
                <c:pt idx="2">
                  <c:v>89.807816096091713</c:v>
                </c:pt>
                <c:pt idx="3">
                  <c:v>89.751795094431728</c:v>
                </c:pt>
                <c:pt idx="4">
                  <c:v>89.679452905341449</c:v>
                </c:pt>
                <c:pt idx="5">
                  <c:v>89.586044613237362</c:v>
                </c:pt>
                <c:pt idx="6">
                  <c:v>89.465457519838722</c:v>
                </c:pt>
                <c:pt idx="7">
                  <c:v>89.309830337183357</c:v>
                </c:pt>
                <c:pt idx="8">
                  <c:v>89.109082011174394</c:v>
                </c:pt>
                <c:pt idx="9">
                  <c:v>88.850347440278099</c:v>
                </c:pt>
                <c:pt idx="10">
                  <c:v>88.517343215812943</c:v>
                </c:pt>
                <c:pt idx="11">
                  <c:v>88.089749157344954</c:v>
                </c:pt>
                <c:pt idx="12">
                  <c:v>87.542831473996443</c:v>
                </c:pt>
                <c:pt idx="13">
                  <c:v>86.84782835481262</c:v>
                </c:pt>
                <c:pt idx="14">
                  <c:v>85.974200647258698</c:v>
                </c:pt>
                <c:pt idx="15">
                  <c:v>84.89589022811424</c:v>
                </c:pt>
                <c:pt idx="16">
                  <c:v>83.605264494462872</c:v>
                </c:pt>
                <c:pt idx="17">
                  <c:v>82.139721727339065</c:v>
                </c:pt>
                <c:pt idx="18">
                  <c:v>80.62402745936015</c:v>
                </c:pt>
                <c:pt idx="19">
                  <c:v>79.320001272011353</c:v>
                </c:pt>
                <c:pt idx="20">
                  <c:v>78.649662201067869</c:v>
                </c:pt>
                <c:pt idx="21">
                  <c:v>79.134380400567551</c:v>
                </c:pt>
                <c:pt idx="22">
                  <c:v>81.216519554563817</c:v>
                </c:pt>
                <c:pt idx="23">
                  <c:v>85.020103639625646</c:v>
                </c:pt>
                <c:pt idx="24">
                  <c:v>90.187702936337132</c:v>
                </c:pt>
                <c:pt idx="25">
                  <c:v>95.910539525211036</c:v>
                </c:pt>
                <c:pt idx="26">
                  <c:v>101.15885157512454</c:v>
                </c:pt>
                <c:pt idx="27">
                  <c:v>105.00390563300904</c:v>
                </c:pt>
                <c:pt idx="28">
                  <c:v>106.8812266199852</c:v>
                </c:pt>
                <c:pt idx="29">
                  <c:v>106.69514180357206</c:v>
                </c:pt>
                <c:pt idx="30">
                  <c:v>104.74888657880562</c:v>
                </c:pt>
                <c:pt idx="31">
                  <c:v>101.54861946691247</c:v>
                </c:pt>
                <c:pt idx="32">
                  <c:v>97.575230538326934</c:v>
                </c:pt>
                <c:pt idx="33">
                  <c:v>93.122899657160161</c:v>
                </c:pt>
                <c:pt idx="34">
                  <c:v>88.238947451010915</c:v>
                </c:pt>
                <c:pt idx="35">
                  <c:v>82.725098065334763</c:v>
                </c:pt>
                <c:pt idx="36">
                  <c:v>76.149780014710686</c:v>
                </c:pt>
                <c:pt idx="37">
                  <c:v>67.87668936047119</c:v>
                </c:pt>
                <c:pt idx="38">
                  <c:v>57.209816973696491</c:v>
                </c:pt>
                <c:pt idx="39">
                  <c:v>43.804121840903967</c:v>
                </c:pt>
                <c:pt idx="40">
                  <c:v>28.206718931155812</c:v>
                </c:pt>
                <c:pt idx="41">
                  <c:v>11.807494966705166</c:v>
                </c:pt>
                <c:pt idx="42">
                  <c:v>-4.0349914157707039</c:v>
                </c:pt>
                <c:pt idx="43">
                  <c:v>-18.589131700675985</c:v>
                </c:pt>
                <c:pt idx="44">
                  <c:v>-31.577896569592887</c:v>
                </c:pt>
                <c:pt idx="45">
                  <c:v>-42.882463084791461</c:v>
                </c:pt>
                <c:pt idx="46">
                  <c:v>-52.463194280704442</c:v>
                </c:pt>
                <c:pt idx="47">
                  <c:v>-60.379356066422396</c:v>
                </c:pt>
                <c:pt idx="48">
                  <c:v>-66.784395487900824</c:v>
                </c:pt>
                <c:pt idx="49">
                  <c:v>-71.887202510657175</c:v>
                </c:pt>
                <c:pt idx="50">
                  <c:v>-75.909798258135424</c:v>
                </c:pt>
                <c:pt idx="51">
                  <c:v>-79.059147077638869</c:v>
                </c:pt>
                <c:pt idx="52">
                  <c:v>-81.514175924851116</c:v>
                </c:pt>
                <c:pt idx="53">
                  <c:v>-83.422851401829632</c:v>
                </c:pt>
                <c:pt idx="54">
                  <c:v>-84.904343391914168</c:v>
                </c:pt>
              </c:numCache>
            </c:numRef>
          </c:yVal>
          <c:smooth val="0"/>
          <c:extLst>
            <c:ext xmlns:c16="http://schemas.microsoft.com/office/drawing/2014/chart" uri="{C3380CC4-5D6E-409C-BE32-E72D297353CC}">
              <c16:uniqueId val="{00000008-31F7-45AC-AAD3-C931682B7E76}"/>
            </c:ext>
          </c:extLst>
        </c:ser>
        <c:dLbls>
          <c:showLegendKey val="0"/>
          <c:showVal val="0"/>
          <c:showCatName val="0"/>
          <c:showSerName val="0"/>
          <c:showPercent val="0"/>
          <c:showBubbleSize val="0"/>
        </c:dLbls>
        <c:axId val="195000960"/>
        <c:axId val="188226176"/>
      </c:scatterChart>
      <c:valAx>
        <c:axId val="187990400"/>
        <c:scaling>
          <c:logBase val="10"/>
          <c:orientation val="minMax"/>
          <c:min val="10"/>
        </c:scaling>
        <c:delete val="0"/>
        <c:axPos val="b"/>
        <c:majorGridlines/>
        <c:minorGridlines/>
        <c:title>
          <c:tx>
            <c:rich>
              <a:bodyPr/>
              <a:lstStyle/>
              <a:p>
                <a:pPr>
                  <a:defRPr/>
                </a:pPr>
                <a:r>
                  <a:rPr lang="en-US"/>
                  <a:t>Frequency</a:t>
                </a:r>
                <a:r>
                  <a:rPr lang="en-US" baseline="0"/>
                  <a:t> (Hz)</a:t>
                </a:r>
                <a:endParaRPr lang="en-US"/>
              </a:p>
            </c:rich>
          </c:tx>
          <c:overlay val="0"/>
        </c:title>
        <c:numFmt formatCode="General" sourceLinked="1"/>
        <c:majorTickMark val="out"/>
        <c:minorTickMark val="cross"/>
        <c:tickLblPos val="low"/>
        <c:crossAx val="187992320"/>
        <c:crosses val="autoZero"/>
        <c:crossBetween val="midCat"/>
      </c:valAx>
      <c:valAx>
        <c:axId val="187992320"/>
        <c:scaling>
          <c:orientation val="minMax"/>
          <c:max val="60"/>
          <c:min val="-40"/>
        </c:scaling>
        <c:delete val="0"/>
        <c:axPos val="l"/>
        <c:majorGridlines/>
        <c:title>
          <c:tx>
            <c:rich>
              <a:bodyPr rot="-5400000" vert="horz"/>
              <a:lstStyle/>
              <a:p>
                <a:pPr>
                  <a:defRPr/>
                </a:pPr>
                <a:r>
                  <a:rPr lang="en-US"/>
                  <a:t>Loop Gain (dB)</a:t>
                </a:r>
              </a:p>
            </c:rich>
          </c:tx>
          <c:overlay val="0"/>
        </c:title>
        <c:numFmt formatCode="General" sourceLinked="1"/>
        <c:majorTickMark val="out"/>
        <c:minorTickMark val="none"/>
        <c:tickLblPos val="nextTo"/>
        <c:crossAx val="187990400"/>
        <c:crosses val="autoZero"/>
        <c:crossBetween val="midCat"/>
        <c:majorUnit val="20"/>
      </c:valAx>
      <c:valAx>
        <c:axId val="188226176"/>
        <c:scaling>
          <c:orientation val="minMax"/>
          <c:max val="180"/>
          <c:min val="-180"/>
        </c:scaling>
        <c:delete val="0"/>
        <c:axPos val="r"/>
        <c:title>
          <c:tx>
            <c:rich>
              <a:bodyPr rot="-5400000" vert="horz"/>
              <a:lstStyle/>
              <a:p>
                <a:pPr>
                  <a:defRPr/>
                </a:pPr>
                <a:r>
                  <a:rPr lang="en-US"/>
                  <a:t>Loop Phase Margin (deg)</a:t>
                </a:r>
              </a:p>
            </c:rich>
          </c:tx>
          <c:overlay val="0"/>
        </c:title>
        <c:numFmt formatCode="General" sourceLinked="1"/>
        <c:majorTickMark val="out"/>
        <c:minorTickMark val="none"/>
        <c:tickLblPos val="nextTo"/>
        <c:crossAx val="195000960"/>
        <c:crosses val="max"/>
        <c:crossBetween val="midCat"/>
        <c:majorUnit val="45"/>
      </c:valAx>
      <c:valAx>
        <c:axId val="195000960"/>
        <c:scaling>
          <c:logBase val="10"/>
          <c:orientation val="minMax"/>
        </c:scaling>
        <c:delete val="1"/>
        <c:axPos val="b"/>
        <c:numFmt formatCode="General" sourceLinked="1"/>
        <c:majorTickMark val="out"/>
        <c:minorTickMark val="none"/>
        <c:tickLblPos val="nextTo"/>
        <c:crossAx val="188226176"/>
        <c:crosses val="autoZero"/>
        <c:crossBetween val="midCat"/>
      </c:valAx>
    </c:plotArea>
    <c:legend>
      <c:legendPos val="l"/>
      <c:legendEntry>
        <c:idx val="1"/>
        <c:delete val="1"/>
      </c:legendEntry>
      <c:legendEntry>
        <c:idx val="2"/>
        <c:delete val="1"/>
      </c:legendEntry>
      <c:legendEntry>
        <c:idx val="3"/>
        <c:delete val="1"/>
      </c:legendEntry>
      <c:layout>
        <c:manualLayout>
          <c:xMode val="edge"/>
          <c:yMode val="edge"/>
          <c:x val="0.79304241813100085"/>
          <c:y val="2.6664513567886527E-2"/>
          <c:w val="0.11678001490904641"/>
          <c:h val="9.5033720657239265E-2"/>
        </c:manualLayout>
      </c:layout>
      <c:overlay val="1"/>
      <c:spPr>
        <a:noFill/>
      </c:sp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Boost Mode Voltage Loop  </a:t>
            </a:r>
            <a:endParaRPr lang="en-US"/>
          </a:p>
        </c:rich>
      </c:tx>
      <c:overlay val="0"/>
    </c:title>
    <c:autoTitleDeleted val="0"/>
    <c:plotArea>
      <c:layout/>
      <c:scatterChart>
        <c:scatterStyle val="lineMarker"/>
        <c:varyColors val="0"/>
        <c:ser>
          <c:idx val="0"/>
          <c:order val="0"/>
          <c:tx>
            <c:v>Gain</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Compensation!$Z$169:$Z$223</c:f>
              <c:numCache>
                <c:formatCode>General</c:formatCode>
                <c:ptCount val="55"/>
                <c:pt idx="0">
                  <c:v>63.769693828765881</c:v>
                </c:pt>
                <c:pt idx="1">
                  <c:v>61.548016209639044</c:v>
                </c:pt>
                <c:pt idx="2">
                  <c:v>59.326702201545189</c:v>
                </c:pt>
                <c:pt idx="3">
                  <c:v>57.105994308321357</c:v>
                </c:pt>
                <c:pt idx="4">
                  <c:v>54.886296294833855</c:v>
                </c:pt>
                <c:pt idx="5">
                  <c:v>52.668279583459466</c:v>
                </c:pt>
                <c:pt idx="6">
                  <c:v>50.453058361169411</c:v>
                </c:pt>
                <c:pt idx="7">
                  <c:v>48.242475142931525</c:v>
                </c:pt>
                <c:pt idx="8">
                  <c:v>46.039559262656198</c:v>
                </c:pt>
                <c:pt idx="9">
                  <c:v>43.849243444629181</c:v>
                </c:pt>
                <c:pt idx="10">
                  <c:v>41.679431369224417</c:v>
                </c:pt>
                <c:pt idx="11">
                  <c:v>39.542451157086923</c:v>
                </c:pt>
                <c:pt idx="12">
                  <c:v>37.456686317481513</c:v>
                </c:pt>
                <c:pt idx="13">
                  <c:v>35.447543562131955</c:v>
                </c:pt>
                <c:pt idx="14">
                  <c:v>33.545776458267667</c:v>
                </c:pt>
                <c:pt idx="15">
                  <c:v>31.780180025408512</c:v>
                </c:pt>
                <c:pt idx="16">
                  <c:v>30.16318818467138</c:v>
                </c:pt>
                <c:pt idx="17">
                  <c:v>28.674630373149949</c:v>
                </c:pt>
                <c:pt idx="18">
                  <c:v>27.257080753379338</c:v>
                </c:pt>
                <c:pt idx="19">
                  <c:v>25.833346990003271</c:v>
                </c:pt>
                <c:pt idx="20">
                  <c:v>24.338585403125961</c:v>
                </c:pt>
                <c:pt idx="21">
                  <c:v>22.744452006394841</c:v>
                </c:pt>
                <c:pt idx="22">
                  <c:v>21.059062861821644</c:v>
                </c:pt>
                <c:pt idx="23">
                  <c:v>19.306783732771024</c:v>
                </c:pt>
                <c:pt idx="24">
                  <c:v>17.504957706381695</c:v>
                </c:pt>
                <c:pt idx="25">
                  <c:v>15.653434906944497</c:v>
                </c:pt>
                <c:pt idx="26">
                  <c:v>13.741476779316791</c:v>
                </c:pt>
                <c:pt idx="27">
                  <c:v>11.762073584208155</c:v>
                </c:pt>
                <c:pt idx="28">
                  <c:v>9.7197738121152817</c:v>
                </c:pt>
                <c:pt idx="29">
                  <c:v>7.6287766635692043</c:v>
                </c:pt>
                <c:pt idx="30">
                  <c:v>5.5074906560912131</c:v>
                </c:pt>
                <c:pt idx="31">
                  <c:v>3.3750065273123568</c:v>
                </c:pt>
                <c:pt idx="32">
                  <c:v>1.2504544898275614</c:v>
                </c:pt>
                <c:pt idx="33">
                  <c:v>-0.84627802797779916</c:v>
                </c:pt>
                <c:pt idx="34">
                  <c:v>-2.8948816393425969</c:v>
                </c:pt>
                <c:pt idx="35">
                  <c:v>-4.8794754335468564</c:v>
                </c:pt>
                <c:pt idx="36">
                  <c:v>-6.8026630520907441</c:v>
                </c:pt>
                <c:pt idx="37">
                  <c:v>-8.7118443531111254</c:v>
                </c:pt>
                <c:pt idx="38">
                  <c:v>-10.729881732656137</c:v>
                </c:pt>
                <c:pt idx="39">
                  <c:v>-13.056716526502301</c:v>
                </c:pt>
                <c:pt idx="40">
                  <c:v>-15.890645170903806</c:v>
                </c:pt>
                <c:pt idx="41">
                  <c:v>-19.293349609551758</c:v>
                </c:pt>
                <c:pt idx="42">
                  <c:v>-23.154703814518491</c:v>
                </c:pt>
                <c:pt idx="43">
                  <c:v>-27.302014925548299</c:v>
                </c:pt>
                <c:pt idx="44">
                  <c:v>-31.6005355478142</c:v>
                </c:pt>
                <c:pt idx="45">
                  <c:v>-35.972839119934669</c:v>
                </c:pt>
                <c:pt idx="46">
                  <c:v>-40.380484624287327</c:v>
                </c:pt>
                <c:pt idx="47">
                  <c:v>-44.805404192797752</c:v>
                </c:pt>
                <c:pt idx="48">
                  <c:v>-49.239104085763628</c:v>
                </c:pt>
                <c:pt idx="49">
                  <c:v>-53.67746330149523</c:v>
                </c:pt>
                <c:pt idx="50">
                  <c:v>-58.1183900438511</c:v>
                </c:pt>
                <c:pt idx="51">
                  <c:v>-62.560773022757317</c:v>
                </c:pt>
                <c:pt idx="52">
                  <c:v>-67.003998776298317</c:v>
                </c:pt>
                <c:pt idx="53">
                  <c:v>-71.447718813337616</c:v>
                </c:pt>
                <c:pt idx="54">
                  <c:v>-75.891731212629082</c:v>
                </c:pt>
              </c:numCache>
            </c:numRef>
          </c:yVal>
          <c:smooth val="1"/>
          <c:extLst>
            <c:ext xmlns:c16="http://schemas.microsoft.com/office/drawing/2014/chart" uri="{C3380CC4-5D6E-409C-BE32-E72D297353CC}">
              <c16:uniqueId val="{00000000-ED75-49C8-8AF9-7567950C0D69}"/>
            </c:ext>
          </c:extLst>
        </c:ser>
        <c:ser>
          <c:idx val="2"/>
          <c:order val="2"/>
          <c:tx>
            <c:v>FPPlant</c:v>
          </c:tx>
          <c:spPr>
            <a:ln>
              <a:solidFill>
                <a:schemeClr val="tx1"/>
              </a:solidFill>
            </a:ln>
          </c:spPr>
          <c:marker>
            <c:symbol val="x"/>
            <c:size val="9"/>
            <c:spPr>
              <a:noFill/>
              <a:ln w="31750">
                <a:solidFill>
                  <a:srgbClr val="FF0000"/>
                </a:solidFill>
              </a:ln>
            </c:spPr>
          </c:marker>
          <c:dPt>
            <c:idx val="0"/>
            <c:marker>
              <c:symbol val="x"/>
              <c:size val="12"/>
            </c:marker>
            <c:bubble3D val="0"/>
            <c:spPr>
              <a:ln w="25400">
                <a:solidFill>
                  <a:schemeClr val="tx1"/>
                </a:solidFill>
              </a:ln>
            </c:spPr>
            <c:extLst>
              <c:ext xmlns:c16="http://schemas.microsoft.com/office/drawing/2014/chart" uri="{C3380CC4-5D6E-409C-BE32-E72D297353CC}">
                <c16:uniqueId val="{00000002-ED75-49C8-8AF9-7567950C0D69}"/>
              </c:ext>
            </c:extLst>
          </c:dPt>
          <c:dLbls>
            <c:dLbl>
              <c:idx val="0"/>
              <c:tx>
                <c:rich>
                  <a:bodyPr/>
                  <a:lstStyle/>
                  <a:p>
                    <a:r>
                      <a:rPr lang="en-US" sz="1400" b="1"/>
                      <a:t>F</a:t>
                    </a:r>
                    <a:r>
                      <a:rPr lang="en-US" sz="1400" b="1" baseline="-25000"/>
                      <a:t>Pplant</a:t>
                    </a:r>
                  </a:p>
                </c:rich>
              </c:tx>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ED75-49C8-8AF9-7567950C0D69}"/>
                </c:ext>
              </c:extLst>
            </c:dLbl>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Compensation!$B$227</c:f>
              <c:numCache>
                <c:formatCode>General</c:formatCode>
                <c:ptCount val="1"/>
                <c:pt idx="0">
                  <c:v>165.78639905405765</c:v>
                </c:pt>
              </c:numCache>
            </c:numRef>
          </c:xVal>
          <c:yVal>
            <c:numRef>
              <c:f>Compensation!$Z$227</c:f>
              <c:numCache>
                <c:formatCode>General</c:formatCode>
                <c:ptCount val="1"/>
                <c:pt idx="0">
                  <c:v>24.375684952246942</c:v>
                </c:pt>
              </c:numCache>
            </c:numRef>
          </c:yVal>
          <c:smooth val="0"/>
          <c:extLst>
            <c:ext xmlns:c16="http://schemas.microsoft.com/office/drawing/2014/chart" uri="{C3380CC4-5D6E-409C-BE32-E72D297353CC}">
              <c16:uniqueId val="{00000003-ED75-49C8-8AF9-7567950C0D69}"/>
            </c:ext>
          </c:extLst>
        </c:ser>
        <c:ser>
          <c:idx val="3"/>
          <c:order val="3"/>
          <c:tx>
            <c:v>Fzcomp</c:v>
          </c:tx>
          <c:marker>
            <c:symbol val="circle"/>
            <c:size val="9"/>
            <c:spPr>
              <a:noFill/>
              <a:ln w="22225">
                <a:solidFill>
                  <a:schemeClr val="tx1"/>
                </a:solidFill>
              </a:ln>
            </c:spPr>
          </c:marker>
          <c:dLbls>
            <c:dLbl>
              <c:idx val="0"/>
              <c:tx>
                <c:rich>
                  <a:bodyPr/>
                  <a:lstStyle/>
                  <a:p>
                    <a:r>
                      <a:rPr lang="en-US" sz="1400" b="1"/>
                      <a:t>F</a:t>
                    </a:r>
                    <a:r>
                      <a:rPr lang="en-US" sz="1400" b="1" baseline="-25000"/>
                      <a:t>Zcomp</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D75-49C8-8AF9-7567950C0D69}"/>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Compensation!$B$225</c:f>
              <c:numCache>
                <c:formatCode>0.00</c:formatCode>
                <c:ptCount val="1"/>
                <c:pt idx="0">
                  <c:v>64.305027511876901</c:v>
                </c:pt>
              </c:numCache>
            </c:numRef>
          </c:xVal>
          <c:yVal>
            <c:numRef>
              <c:f>Compensation!$Z$225</c:f>
              <c:numCache>
                <c:formatCode>General</c:formatCode>
                <c:ptCount val="1"/>
                <c:pt idx="0">
                  <c:v>29.744042816613355</c:v>
                </c:pt>
              </c:numCache>
            </c:numRef>
          </c:yVal>
          <c:smooth val="0"/>
          <c:extLst>
            <c:ext xmlns:c16="http://schemas.microsoft.com/office/drawing/2014/chart" uri="{C3380CC4-5D6E-409C-BE32-E72D297353CC}">
              <c16:uniqueId val="{00000005-ED75-49C8-8AF9-7567950C0D69}"/>
            </c:ext>
          </c:extLst>
        </c:ser>
        <c:ser>
          <c:idx val="4"/>
          <c:order val="4"/>
          <c:tx>
            <c:v>Fpcomp</c:v>
          </c:tx>
          <c:marker>
            <c:symbol val="x"/>
            <c:size val="10"/>
            <c:spPr>
              <a:ln w="25400">
                <a:solidFill>
                  <a:schemeClr val="tx1"/>
                </a:solidFill>
              </a:ln>
            </c:spPr>
          </c:marker>
          <c:dLbls>
            <c:dLbl>
              <c:idx val="0"/>
              <c:tx>
                <c:rich>
                  <a:bodyPr/>
                  <a:lstStyle/>
                  <a:p>
                    <a:r>
                      <a:rPr lang="en-US" sz="1200" b="1"/>
                      <a:t>F</a:t>
                    </a:r>
                    <a:r>
                      <a:rPr lang="en-US" sz="1200" b="1" baseline="-25000"/>
                      <a:t>Pcomp</a:t>
                    </a:r>
                    <a:endParaRPr lang="en-US" b="1" baseline="-25000"/>
                  </a:p>
                </c:rich>
              </c:tx>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D75-49C8-8AF9-7567950C0D69}"/>
                </c:ext>
              </c:extLst>
            </c:dLbl>
            <c:spPr>
              <a:noFill/>
              <a:ln>
                <a:noFill/>
              </a:ln>
              <a:effectLst/>
            </c:spPr>
            <c:txPr>
              <a:bodyPr/>
              <a:lstStyle/>
              <a:p>
                <a:pPr>
                  <a:defRPr sz="1200"/>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Compensation!$B$226</c:f>
              <c:numCache>
                <c:formatCode>General</c:formatCode>
                <c:ptCount val="1"/>
                <c:pt idx="0">
                  <c:v>21220.65907891938</c:v>
                </c:pt>
              </c:numCache>
            </c:numRef>
          </c:xVal>
          <c:yVal>
            <c:numRef>
              <c:f>Compensation!$Z$226</c:f>
              <c:numCache>
                <c:formatCode>General</c:formatCode>
                <c:ptCount val="1"/>
                <c:pt idx="0">
                  <c:v>-12.906467284692535</c:v>
                </c:pt>
              </c:numCache>
            </c:numRef>
          </c:yVal>
          <c:smooth val="0"/>
          <c:extLst>
            <c:ext xmlns:c16="http://schemas.microsoft.com/office/drawing/2014/chart" uri="{C3380CC4-5D6E-409C-BE32-E72D297353CC}">
              <c16:uniqueId val="{00000007-ED75-49C8-8AF9-7567950C0D69}"/>
            </c:ext>
          </c:extLst>
        </c:ser>
        <c:ser>
          <c:idx val="5"/>
          <c:order val="5"/>
          <c:tx>
            <c:v>FRHPZERO</c:v>
          </c:tx>
          <c:spPr>
            <a:ln>
              <a:solidFill>
                <a:srgbClr val="FFC000"/>
              </a:solidFill>
            </a:ln>
          </c:spPr>
          <c:marker>
            <c:symbol val="circle"/>
            <c:size val="10"/>
            <c:spPr>
              <a:noFill/>
              <a:ln w="28575">
                <a:solidFill>
                  <a:srgbClr val="FF0000"/>
                </a:solidFill>
              </a:ln>
            </c:spPr>
          </c:marker>
          <c:dLbls>
            <c:dLbl>
              <c:idx val="0"/>
              <c:tx>
                <c:rich>
                  <a:bodyPr/>
                  <a:lstStyle/>
                  <a:p>
                    <a:r>
                      <a:rPr lang="en-US" sz="1400" b="1"/>
                      <a:t>F</a:t>
                    </a:r>
                    <a:r>
                      <a:rPr lang="en-US" sz="1400" b="1" baseline="-25000"/>
                      <a:t>RHPzero</a:t>
                    </a:r>
                    <a:endParaRPr lang="en-US" b="1" baseline="-25000"/>
                  </a:p>
                </c:rich>
              </c:tx>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ED75-49C8-8AF9-7567950C0D69}"/>
                </c:ext>
              </c:extLst>
            </c:dLbl>
            <c:spPr>
              <a:noFill/>
              <a:ln>
                <a:noFill/>
              </a:ln>
              <a:effectLst/>
            </c:spPr>
            <c:txPr>
              <a:bodyPr/>
              <a:lstStyle/>
              <a:p>
                <a:pPr>
                  <a:defRPr sz="1400"/>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Compensation!$B$228</c:f>
              <c:numCache>
                <c:formatCode>General</c:formatCode>
                <c:ptCount val="1"/>
                <c:pt idx="0">
                  <c:v>11951.560182119802</c:v>
                </c:pt>
              </c:numCache>
            </c:numRef>
          </c:xVal>
          <c:yVal>
            <c:numRef>
              <c:f>Compensation!$Z$228</c:f>
              <c:numCache>
                <c:formatCode>General</c:formatCode>
                <c:ptCount val="1"/>
                <c:pt idx="0">
                  <c:v>-8.1288763927964318</c:v>
                </c:pt>
              </c:numCache>
            </c:numRef>
          </c:yVal>
          <c:smooth val="0"/>
          <c:extLst>
            <c:ext xmlns:c16="http://schemas.microsoft.com/office/drawing/2014/chart" uri="{C3380CC4-5D6E-409C-BE32-E72D297353CC}">
              <c16:uniqueId val="{00000009-ED75-49C8-8AF9-7567950C0D69}"/>
            </c:ext>
          </c:extLst>
        </c:ser>
        <c:dLbls>
          <c:showLegendKey val="0"/>
          <c:showVal val="0"/>
          <c:showCatName val="0"/>
          <c:showSerName val="0"/>
          <c:showPercent val="0"/>
          <c:showBubbleSize val="0"/>
        </c:dLbls>
        <c:axId val="205768960"/>
        <c:axId val="205775616"/>
      </c:scatterChart>
      <c:scatterChart>
        <c:scatterStyle val="lineMarker"/>
        <c:varyColors val="0"/>
        <c:ser>
          <c:idx val="1"/>
          <c:order val="1"/>
          <c:tx>
            <c:v>Phase</c:v>
          </c:tx>
          <c:marker>
            <c:symbol val="none"/>
          </c:marker>
          <c:xVal>
            <c:numRef>
              <c:f>Compensation!$B$169:$B$223</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Compensation!$AA$169:$AA$223</c:f>
              <c:numCache>
                <c:formatCode>General</c:formatCode>
                <c:ptCount val="55"/>
                <c:pt idx="0">
                  <c:v>90.481459708711014</c:v>
                </c:pt>
                <c:pt idx="1">
                  <c:v>90.621773986968648</c:v>
                </c:pt>
                <c:pt idx="2">
                  <c:v>90.802933225822997</c:v>
                </c:pt>
                <c:pt idx="3">
                  <c:v>91.036772401562658</c:v>
                </c:pt>
                <c:pt idx="4">
                  <c:v>91.338492512041114</c:v>
                </c:pt>
                <c:pt idx="5">
                  <c:v>91.72754501660107</c:v>
                </c:pt>
                <c:pt idx="6">
                  <c:v>92.228663746330511</c:v>
                </c:pt>
                <c:pt idx="7">
                  <c:v>92.872963694944019</c:v>
                </c:pt>
                <c:pt idx="8">
                  <c:v>93.698869690132412</c:v>
                </c:pt>
                <c:pt idx="9">
                  <c:v>94.752306667787039</c:v>
                </c:pt>
                <c:pt idx="10">
                  <c:v>96.0849342681677</c:v>
                </c:pt>
                <c:pt idx="11">
                  <c:v>97.748075576268462</c:v>
                </c:pt>
                <c:pt idx="12">
                  <c:v>99.778418010834102</c:v>
                </c:pt>
                <c:pt idx="13">
                  <c:v>102.17058765105133</c:v>
                </c:pt>
                <c:pt idx="14">
                  <c:v>104.83487112646888</c:v>
                </c:pt>
                <c:pt idx="15">
                  <c:v>107.55212281392249</c:v>
                </c:pt>
                <c:pt idx="16">
                  <c:v>109.96343084638021</c:v>
                </c:pt>
                <c:pt idx="17">
                  <c:v>111.64494210960993</c:v>
                </c:pt>
                <c:pt idx="18">
                  <c:v>112.27158554275545</c:v>
                </c:pt>
                <c:pt idx="19">
                  <c:v>111.77578047011545</c:v>
                </c:pt>
                <c:pt idx="20">
                  <c:v>110.37054879369086</c:v>
                </c:pt>
                <c:pt idx="21">
                  <c:v>108.40635239263177</c:v>
                </c:pt>
                <c:pt idx="22">
                  <c:v>106.17003750281319</c:v>
                </c:pt>
                <c:pt idx="23">
                  <c:v>103.76520282529764</c:v>
                </c:pt>
                <c:pt idx="24">
                  <c:v>101.13062392618511</c:v>
                </c:pt>
                <c:pt idx="25">
                  <c:v>98.152030243067912</c:v>
                </c:pt>
                <c:pt idx="26">
                  <c:v>94.763514633672358</c:v>
                </c:pt>
                <c:pt idx="27">
                  <c:v>90.958648174851163</c:v>
                </c:pt>
                <c:pt idx="28">
                  <c:v>86.727829839130663</c:v>
                </c:pt>
                <c:pt idx="29">
                  <c:v>81.995112576774233</c:v>
                </c:pt>
                <c:pt idx="30">
                  <c:v>76.593596488330007</c:v>
                </c:pt>
                <c:pt idx="31">
                  <c:v>70.269968451232728</c:v>
                </c:pt>
                <c:pt idx="32">
                  <c:v>62.699131282056591</c:v>
                </c:pt>
                <c:pt idx="33">
                  <c:v>53.502880513812556</c:v>
                </c:pt>
                <c:pt idx="34">
                  <c:v>42.278720662696983</c:v>
                </c:pt>
                <c:pt idx="35">
                  <c:v>28.648732827927883</c:v>
                </c:pt>
                <c:pt idx="36">
                  <c:v>12.333044629328629</c:v>
                </c:pt>
                <c:pt idx="37">
                  <c:v>-6.7538846445821612</c:v>
                </c:pt>
                <c:pt idx="38">
                  <c:v>-28.363977455224667</c:v>
                </c:pt>
                <c:pt idx="39">
                  <c:v>-51.679101414315447</c:v>
                </c:pt>
                <c:pt idx="40">
                  <c:v>-75.110024467782367</c:v>
                </c:pt>
                <c:pt idx="41">
                  <c:v>-96.671538592034878</c:v>
                </c:pt>
                <c:pt idx="42">
                  <c:v>-114.95751432804728</c:v>
                </c:pt>
                <c:pt idx="43">
                  <c:v>-129.63511963130682</c:v>
                </c:pt>
                <c:pt idx="44">
                  <c:v>-141.09520039614475</c:v>
                </c:pt>
                <c:pt idx="45">
                  <c:v>-149.95088727928874</c:v>
                </c:pt>
                <c:pt idx="46">
                  <c:v>-156.77783437316191</c:v>
                </c:pt>
                <c:pt idx="47">
                  <c:v>-162.0430981805371</c:v>
                </c:pt>
                <c:pt idx="48">
                  <c:v>-166.10820609119608</c:v>
                </c:pt>
                <c:pt idx="49">
                  <c:v>-169.2496992532848</c:v>
                </c:pt>
                <c:pt idx="50">
                  <c:v>-171.67910288024854</c:v>
                </c:pt>
                <c:pt idx="51">
                  <c:v>-173.55868952140642</c:v>
                </c:pt>
                <c:pt idx="52">
                  <c:v>-175.0133162990098</c:v>
                </c:pt>
                <c:pt idx="53">
                  <c:v>-176.1392667796199</c:v>
                </c:pt>
                <c:pt idx="54">
                  <c:v>-177.01090246289854</c:v>
                </c:pt>
              </c:numCache>
            </c:numRef>
          </c:yVal>
          <c:smooth val="1"/>
          <c:extLst>
            <c:ext xmlns:c16="http://schemas.microsoft.com/office/drawing/2014/chart" uri="{C3380CC4-5D6E-409C-BE32-E72D297353CC}">
              <c16:uniqueId val="{0000000A-ED75-49C8-8AF9-7567950C0D69}"/>
            </c:ext>
          </c:extLst>
        </c:ser>
        <c:dLbls>
          <c:showLegendKey val="0"/>
          <c:showVal val="0"/>
          <c:showCatName val="0"/>
          <c:showSerName val="0"/>
          <c:showPercent val="0"/>
          <c:showBubbleSize val="0"/>
        </c:dLbls>
        <c:axId val="205821440"/>
        <c:axId val="205777920"/>
      </c:scatterChart>
      <c:valAx>
        <c:axId val="205768960"/>
        <c:scaling>
          <c:logBase val="10"/>
          <c:orientation val="minMax"/>
          <c:min val="10"/>
        </c:scaling>
        <c:delete val="0"/>
        <c:axPos val="b"/>
        <c:majorGridlines/>
        <c:minorGridlines/>
        <c:title>
          <c:tx>
            <c:rich>
              <a:bodyPr/>
              <a:lstStyle/>
              <a:p>
                <a:pPr>
                  <a:defRPr/>
                </a:pPr>
                <a:r>
                  <a:rPr lang="en-US"/>
                  <a:t>Frequency</a:t>
                </a:r>
                <a:r>
                  <a:rPr lang="en-US" baseline="0"/>
                  <a:t> (Hz)</a:t>
                </a:r>
                <a:endParaRPr lang="en-US"/>
              </a:p>
            </c:rich>
          </c:tx>
          <c:overlay val="0"/>
        </c:title>
        <c:numFmt formatCode="General" sourceLinked="1"/>
        <c:majorTickMark val="out"/>
        <c:minorTickMark val="cross"/>
        <c:tickLblPos val="low"/>
        <c:crossAx val="205775616"/>
        <c:crosses val="autoZero"/>
        <c:crossBetween val="midCat"/>
      </c:valAx>
      <c:valAx>
        <c:axId val="205775616"/>
        <c:scaling>
          <c:orientation val="minMax"/>
          <c:max val="60"/>
          <c:min val="-40"/>
        </c:scaling>
        <c:delete val="0"/>
        <c:axPos val="l"/>
        <c:majorGridlines/>
        <c:title>
          <c:tx>
            <c:rich>
              <a:bodyPr rot="-5400000" vert="horz"/>
              <a:lstStyle/>
              <a:p>
                <a:pPr>
                  <a:defRPr/>
                </a:pPr>
                <a:r>
                  <a:rPr lang="en-US"/>
                  <a:t>Loop Gain (dB)</a:t>
                </a:r>
              </a:p>
            </c:rich>
          </c:tx>
          <c:overlay val="0"/>
        </c:title>
        <c:numFmt formatCode="General" sourceLinked="1"/>
        <c:majorTickMark val="out"/>
        <c:minorTickMark val="none"/>
        <c:tickLblPos val="nextTo"/>
        <c:crossAx val="205768960"/>
        <c:crosses val="autoZero"/>
        <c:crossBetween val="midCat"/>
        <c:majorUnit val="20"/>
      </c:valAx>
      <c:valAx>
        <c:axId val="205777920"/>
        <c:scaling>
          <c:orientation val="minMax"/>
          <c:max val="180"/>
          <c:min val="-180"/>
        </c:scaling>
        <c:delete val="0"/>
        <c:axPos val="r"/>
        <c:title>
          <c:tx>
            <c:rich>
              <a:bodyPr rot="-5400000" vert="horz"/>
              <a:lstStyle/>
              <a:p>
                <a:pPr>
                  <a:defRPr/>
                </a:pPr>
                <a:r>
                  <a:rPr lang="en-US"/>
                  <a:t>Loop Phase Margin (deg)</a:t>
                </a:r>
              </a:p>
            </c:rich>
          </c:tx>
          <c:overlay val="0"/>
        </c:title>
        <c:numFmt formatCode="General" sourceLinked="1"/>
        <c:majorTickMark val="out"/>
        <c:minorTickMark val="none"/>
        <c:tickLblPos val="nextTo"/>
        <c:crossAx val="205821440"/>
        <c:crosses val="max"/>
        <c:crossBetween val="midCat"/>
        <c:majorUnit val="45"/>
      </c:valAx>
      <c:valAx>
        <c:axId val="205821440"/>
        <c:scaling>
          <c:logBase val="10"/>
          <c:orientation val="minMax"/>
        </c:scaling>
        <c:delete val="1"/>
        <c:axPos val="b"/>
        <c:numFmt formatCode="General" sourceLinked="1"/>
        <c:majorTickMark val="out"/>
        <c:minorTickMark val="none"/>
        <c:tickLblPos val="nextTo"/>
        <c:crossAx val="205777920"/>
        <c:crosses val="autoZero"/>
        <c:crossBetween val="midCat"/>
      </c:valAx>
    </c:plotArea>
    <c:legend>
      <c:legendPos val="l"/>
      <c:legendEntry>
        <c:idx val="1"/>
        <c:delete val="1"/>
      </c:legendEntry>
      <c:legendEntry>
        <c:idx val="2"/>
        <c:delete val="1"/>
      </c:legendEntry>
      <c:legendEntry>
        <c:idx val="3"/>
        <c:delete val="1"/>
      </c:legendEntry>
      <c:legendEntry>
        <c:idx val="4"/>
        <c:delete val="1"/>
      </c:legendEntry>
      <c:layout>
        <c:manualLayout>
          <c:xMode val="edge"/>
          <c:yMode val="edge"/>
          <c:x val="0.79304241813100085"/>
          <c:y val="2.6664513567886527E-2"/>
          <c:w val="9.4543330754408461E-2"/>
          <c:h val="0.12361639853858421"/>
        </c:manualLayout>
      </c:layout>
      <c:overlay val="1"/>
      <c:spPr>
        <a:noFill/>
      </c:sp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Boost Mode Duty Cycle</a:t>
            </a:r>
          </a:p>
        </c:rich>
      </c:tx>
      <c:overlay val="0"/>
    </c:title>
    <c:autoTitleDeleted val="0"/>
    <c:plotArea>
      <c:layout/>
      <c:scatterChart>
        <c:scatterStyle val="smoothMarker"/>
        <c:varyColors val="0"/>
        <c:ser>
          <c:idx val="0"/>
          <c:order val="0"/>
          <c:tx>
            <c:v>LV Port Min</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Calculations!$AC$6:$AC$56</c:f>
              <c:numCache>
                <c:formatCode>General</c:formatCode>
                <c:ptCount val="51"/>
                <c:pt idx="0">
                  <c:v>0</c:v>
                </c:pt>
                <c:pt idx="1">
                  <c:v>0.24238399287081641</c:v>
                </c:pt>
                <c:pt idx="2">
                  <c:v>0.34278273002005222</c:v>
                </c:pt>
                <c:pt idx="3">
                  <c:v>0.41982139059366663</c:v>
                </c:pt>
                <c:pt idx="4">
                  <c:v>0.48476798574163282</c:v>
                </c:pt>
                <c:pt idx="5">
                  <c:v>0.54198708471696999</c:v>
                </c:pt>
                <c:pt idx="6">
                  <c:v>0.59371710435189584</c:v>
                </c:pt>
                <c:pt idx="7">
                  <c:v>0.641287766919033</c:v>
                </c:pt>
                <c:pt idx="8">
                  <c:v>0.68556546004010444</c:v>
                </c:pt>
                <c:pt idx="9">
                  <c:v>0.72715197861244929</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numCache>
            </c:numRef>
          </c:yVal>
          <c:smooth val="1"/>
          <c:extLst>
            <c:ext xmlns:c16="http://schemas.microsoft.com/office/drawing/2014/chart" uri="{C3380CC4-5D6E-409C-BE32-E72D297353CC}">
              <c16:uniqueId val="{00000000-8364-46AE-A3E0-7BFABE7F42FC}"/>
            </c:ext>
          </c:extLst>
        </c:ser>
        <c:ser>
          <c:idx val="1"/>
          <c:order val="1"/>
          <c:tx>
            <c:v>LV Port Nom</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Calculations!$AG$6:$AG$56</c:f>
              <c:numCache>
                <c:formatCode>General</c:formatCode>
                <c:ptCount val="51"/>
                <c:pt idx="0">
                  <c:v>0</c:v>
                </c:pt>
                <c:pt idx="1">
                  <c:v>0.21482768071394431</c:v>
                </c:pt>
                <c:pt idx="2">
                  <c:v>0.30381221963881705</c:v>
                </c:pt>
                <c:pt idx="3">
                  <c:v>0.37209245786873618</c:v>
                </c:pt>
                <c:pt idx="4">
                  <c:v>0.42965536142788863</c:v>
                </c:pt>
                <c:pt idx="5">
                  <c:v>0.48036929752500002</c:v>
                </c:pt>
                <c:pt idx="6">
                  <c:v>0.52621820037470624</c:v>
                </c:pt>
                <c:pt idx="7">
                  <c:v>0.56838061790188343</c:v>
                </c:pt>
                <c:pt idx="8">
                  <c:v>0.6076244392776341</c:v>
                </c:pt>
                <c:pt idx="9">
                  <c:v>0.64448304214183283</c:v>
                </c:pt>
                <c:pt idx="10">
                  <c:v>0.67934477550749151</c:v>
                </c:pt>
                <c:pt idx="11">
                  <c:v>0.70208333333333339</c:v>
                </c:pt>
                <c:pt idx="12">
                  <c:v>0.70208333333333339</c:v>
                </c:pt>
                <c:pt idx="13">
                  <c:v>0.70208333333333339</c:v>
                </c:pt>
                <c:pt idx="14">
                  <c:v>0.70208333333333339</c:v>
                </c:pt>
                <c:pt idx="15">
                  <c:v>0.70208333333333339</c:v>
                </c:pt>
                <c:pt idx="16">
                  <c:v>0.70208333333333339</c:v>
                </c:pt>
                <c:pt idx="17">
                  <c:v>0.70208333333333339</c:v>
                </c:pt>
                <c:pt idx="18">
                  <c:v>0.70208333333333339</c:v>
                </c:pt>
                <c:pt idx="19">
                  <c:v>0.70208333333333339</c:v>
                </c:pt>
                <c:pt idx="20">
                  <c:v>0.70208333333333339</c:v>
                </c:pt>
                <c:pt idx="21">
                  <c:v>0.70208333333333339</c:v>
                </c:pt>
                <c:pt idx="22">
                  <c:v>0.70208333333333339</c:v>
                </c:pt>
                <c:pt idx="23">
                  <c:v>0.70208333333333339</c:v>
                </c:pt>
                <c:pt idx="24">
                  <c:v>0.70208333333333339</c:v>
                </c:pt>
                <c:pt idx="25">
                  <c:v>0.70208333333333339</c:v>
                </c:pt>
                <c:pt idx="26">
                  <c:v>0.70208333333333339</c:v>
                </c:pt>
                <c:pt idx="27">
                  <c:v>0.70208333333333339</c:v>
                </c:pt>
                <c:pt idx="28">
                  <c:v>0.70208333333333339</c:v>
                </c:pt>
                <c:pt idx="29">
                  <c:v>0.70208333333333339</c:v>
                </c:pt>
                <c:pt idx="30">
                  <c:v>0.70208333333333339</c:v>
                </c:pt>
                <c:pt idx="31">
                  <c:v>0.70208333333333339</c:v>
                </c:pt>
                <c:pt idx="32">
                  <c:v>0.70208333333333339</c:v>
                </c:pt>
                <c:pt idx="33">
                  <c:v>0.70208333333333339</c:v>
                </c:pt>
                <c:pt idx="34">
                  <c:v>0.70208333333333339</c:v>
                </c:pt>
                <c:pt idx="35">
                  <c:v>0.70208333333333339</c:v>
                </c:pt>
                <c:pt idx="36">
                  <c:v>0.70208333333333339</c:v>
                </c:pt>
                <c:pt idx="37">
                  <c:v>0.70208333333333339</c:v>
                </c:pt>
                <c:pt idx="38">
                  <c:v>0.70208333333333339</c:v>
                </c:pt>
                <c:pt idx="39">
                  <c:v>0.70208333333333339</c:v>
                </c:pt>
                <c:pt idx="40">
                  <c:v>0.70208333333333339</c:v>
                </c:pt>
                <c:pt idx="41">
                  <c:v>0.70208333333333339</c:v>
                </c:pt>
                <c:pt idx="42">
                  <c:v>0.70208333333333339</c:v>
                </c:pt>
                <c:pt idx="43">
                  <c:v>0.70208333333333339</c:v>
                </c:pt>
                <c:pt idx="44">
                  <c:v>0.70208333333333339</c:v>
                </c:pt>
                <c:pt idx="45">
                  <c:v>0.70208333333333339</c:v>
                </c:pt>
                <c:pt idx="46">
                  <c:v>0.70208333333333339</c:v>
                </c:pt>
                <c:pt idx="47">
                  <c:v>0.70208333333333339</c:v>
                </c:pt>
                <c:pt idx="48">
                  <c:v>0.70208333333333339</c:v>
                </c:pt>
                <c:pt idx="49">
                  <c:v>0.70208333333333339</c:v>
                </c:pt>
                <c:pt idx="50">
                  <c:v>0.70208333333333339</c:v>
                </c:pt>
              </c:numCache>
            </c:numRef>
          </c:yVal>
          <c:smooth val="1"/>
          <c:extLst>
            <c:ext xmlns:c16="http://schemas.microsoft.com/office/drawing/2014/chart" uri="{C3380CC4-5D6E-409C-BE32-E72D297353CC}">
              <c16:uniqueId val="{00000001-8364-46AE-A3E0-7BFABE7F42FC}"/>
            </c:ext>
          </c:extLst>
        </c:ser>
        <c:ser>
          <c:idx val="2"/>
          <c:order val="2"/>
          <c:tx>
            <c:v>LV Port Max</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Calculations!$AK$6:$AK$56</c:f>
              <c:numCache>
                <c:formatCode>General</c:formatCode>
                <c:ptCount val="51"/>
                <c:pt idx="0">
                  <c:v>0</c:v>
                </c:pt>
                <c:pt idx="1">
                  <c:v>0.19790570145063194</c:v>
                </c:pt>
                <c:pt idx="2">
                  <c:v>0.27988092706244438</c:v>
                </c:pt>
                <c:pt idx="3">
                  <c:v>0.34278273002005222</c:v>
                </c:pt>
                <c:pt idx="4">
                  <c:v>0.39581140290126388</c:v>
                </c:pt>
                <c:pt idx="5">
                  <c:v>0.44253060157839175</c:v>
                </c:pt>
                <c:pt idx="6">
                  <c:v>0.48476798574163293</c:v>
                </c:pt>
                <c:pt idx="7">
                  <c:v>0.52360926908016692</c:v>
                </c:pt>
                <c:pt idx="8">
                  <c:v>0.55976185412488877</c:v>
                </c:pt>
                <c:pt idx="9">
                  <c:v>0.59371710435189584</c:v>
                </c:pt>
                <c:pt idx="10">
                  <c:v>0.62583277851728625</c:v>
                </c:pt>
                <c:pt idx="11">
                  <c:v>0.65637895558384052</c:v>
                </c:pt>
                <c:pt idx="12">
                  <c:v>0.66666666666666674</c:v>
                </c:pt>
                <c:pt idx="13">
                  <c:v>0.66666666666666674</c:v>
                </c:pt>
                <c:pt idx="14">
                  <c:v>0.66666666666666674</c:v>
                </c:pt>
                <c:pt idx="15">
                  <c:v>0.66666666666666674</c:v>
                </c:pt>
                <c:pt idx="16">
                  <c:v>0.66666666666666674</c:v>
                </c:pt>
                <c:pt idx="17">
                  <c:v>0.66666666666666674</c:v>
                </c:pt>
                <c:pt idx="18">
                  <c:v>0.66666666666666674</c:v>
                </c:pt>
                <c:pt idx="19">
                  <c:v>0.66666666666666674</c:v>
                </c:pt>
                <c:pt idx="20">
                  <c:v>0.66666666666666674</c:v>
                </c:pt>
                <c:pt idx="21">
                  <c:v>0.66666666666666674</c:v>
                </c:pt>
                <c:pt idx="22">
                  <c:v>0.66666666666666674</c:v>
                </c:pt>
                <c:pt idx="23">
                  <c:v>0.66666666666666674</c:v>
                </c:pt>
                <c:pt idx="24">
                  <c:v>0.66666666666666674</c:v>
                </c:pt>
                <c:pt idx="25">
                  <c:v>0.66666666666666674</c:v>
                </c:pt>
                <c:pt idx="26">
                  <c:v>0.66666666666666674</c:v>
                </c:pt>
                <c:pt idx="27">
                  <c:v>0.66666666666666674</c:v>
                </c:pt>
                <c:pt idx="28">
                  <c:v>0.66666666666666674</c:v>
                </c:pt>
                <c:pt idx="29">
                  <c:v>0.66666666666666674</c:v>
                </c:pt>
                <c:pt idx="30">
                  <c:v>0.66666666666666674</c:v>
                </c:pt>
                <c:pt idx="31">
                  <c:v>0.66666666666666674</c:v>
                </c:pt>
                <c:pt idx="32">
                  <c:v>0.66666666666666674</c:v>
                </c:pt>
                <c:pt idx="33">
                  <c:v>0.66666666666666674</c:v>
                </c:pt>
                <c:pt idx="34">
                  <c:v>0.66666666666666674</c:v>
                </c:pt>
                <c:pt idx="35">
                  <c:v>0.66666666666666674</c:v>
                </c:pt>
                <c:pt idx="36">
                  <c:v>0.66666666666666674</c:v>
                </c:pt>
                <c:pt idx="37">
                  <c:v>0.66666666666666674</c:v>
                </c:pt>
                <c:pt idx="38">
                  <c:v>0.66666666666666674</c:v>
                </c:pt>
                <c:pt idx="39">
                  <c:v>0.66666666666666674</c:v>
                </c:pt>
                <c:pt idx="40">
                  <c:v>0.66666666666666674</c:v>
                </c:pt>
                <c:pt idx="41">
                  <c:v>0.66666666666666674</c:v>
                </c:pt>
                <c:pt idx="42">
                  <c:v>0.66666666666666674</c:v>
                </c:pt>
                <c:pt idx="43">
                  <c:v>0.66666666666666674</c:v>
                </c:pt>
                <c:pt idx="44">
                  <c:v>0.66666666666666674</c:v>
                </c:pt>
                <c:pt idx="45">
                  <c:v>0.66666666666666674</c:v>
                </c:pt>
                <c:pt idx="46">
                  <c:v>0.66666666666666674</c:v>
                </c:pt>
                <c:pt idx="47">
                  <c:v>0.66666666666666674</c:v>
                </c:pt>
                <c:pt idx="48">
                  <c:v>0.66666666666666674</c:v>
                </c:pt>
                <c:pt idx="49">
                  <c:v>0.66666666666666674</c:v>
                </c:pt>
                <c:pt idx="50">
                  <c:v>0.66666666666666674</c:v>
                </c:pt>
              </c:numCache>
            </c:numRef>
          </c:yVal>
          <c:smooth val="1"/>
          <c:extLst>
            <c:ext xmlns:c16="http://schemas.microsoft.com/office/drawing/2014/chart" uri="{C3380CC4-5D6E-409C-BE32-E72D297353CC}">
              <c16:uniqueId val="{00000002-8364-46AE-A3E0-7BFABE7F42FC}"/>
            </c:ext>
          </c:extLst>
        </c:ser>
        <c:ser>
          <c:idx val="3"/>
          <c:order val="3"/>
          <c:marker>
            <c:symbol val="circle"/>
            <c:size val="11"/>
            <c:spPr>
              <a:noFill/>
              <a:ln w="22225">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Calculations!$B$56</c:f>
              <c:numCache>
                <c:formatCode>0.000</c:formatCode>
                <c:ptCount val="1"/>
                <c:pt idx="0">
                  <c:v>9.5744680851063837</c:v>
                </c:pt>
              </c:numCache>
            </c:numRef>
          </c:xVal>
          <c:yVal>
            <c:numRef>
              <c:f>Calculations!$B$57</c:f>
              <c:numCache>
                <c:formatCode>General</c:formatCode>
                <c:ptCount val="1"/>
                <c:pt idx="0">
                  <c:v>0.75</c:v>
                </c:pt>
              </c:numCache>
            </c:numRef>
          </c:yVal>
          <c:smooth val="0"/>
          <c:extLst>
            <c:ext xmlns:c16="http://schemas.microsoft.com/office/drawing/2014/chart" uri="{C3380CC4-5D6E-409C-BE32-E72D297353CC}">
              <c16:uniqueId val="{00000003-8364-46AE-A3E0-7BFABE7F42FC}"/>
            </c:ext>
          </c:extLst>
        </c:ser>
        <c:ser>
          <c:idx val="4"/>
          <c:order val="4"/>
          <c:tx>
            <c:v>LV Nom</c:v>
          </c:tx>
          <c:spPr>
            <a:ln w="47625"/>
          </c:spPr>
          <c:marker>
            <c:symbol val="circle"/>
            <c:size val="11"/>
            <c:spPr>
              <a:noFill/>
              <a:ln w="22225">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Calculations!$B$59</c:f>
              <c:numCache>
                <c:formatCode>0.000</c:formatCode>
                <c:ptCount val="1"/>
                <c:pt idx="0">
                  <c:v>10.680629432624114</c:v>
                </c:pt>
              </c:numCache>
            </c:numRef>
          </c:xVal>
          <c:yVal>
            <c:numRef>
              <c:f>Calculations!$B$60</c:f>
              <c:numCache>
                <c:formatCode>0.000</c:formatCode>
                <c:ptCount val="1"/>
                <c:pt idx="0">
                  <c:v>0.70208333333333339</c:v>
                </c:pt>
              </c:numCache>
            </c:numRef>
          </c:yVal>
          <c:smooth val="0"/>
          <c:extLst>
            <c:ext xmlns:c16="http://schemas.microsoft.com/office/drawing/2014/chart" uri="{C3380CC4-5D6E-409C-BE32-E72D297353CC}">
              <c16:uniqueId val="{00000004-8364-46AE-A3E0-7BFABE7F42FC}"/>
            </c:ext>
          </c:extLst>
        </c:ser>
        <c:ser>
          <c:idx val="5"/>
          <c:order val="5"/>
          <c:marker>
            <c:symbol val="circle"/>
            <c:size val="11"/>
            <c:spPr>
              <a:noFill/>
              <a:ln w="25400">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Calculations!$B$62</c:f>
              <c:numCache>
                <c:formatCode>0.000</c:formatCode>
                <c:ptCount val="1"/>
                <c:pt idx="0">
                  <c:v>11.347517730496453</c:v>
                </c:pt>
              </c:numCache>
            </c:numRef>
          </c:xVal>
          <c:yVal>
            <c:numRef>
              <c:f>Calculations!$B$63</c:f>
              <c:numCache>
                <c:formatCode>General</c:formatCode>
                <c:ptCount val="1"/>
                <c:pt idx="0">
                  <c:v>0.66666666666666674</c:v>
                </c:pt>
              </c:numCache>
            </c:numRef>
          </c:yVal>
          <c:smooth val="1"/>
          <c:extLst>
            <c:ext xmlns:c16="http://schemas.microsoft.com/office/drawing/2014/chart" uri="{C3380CC4-5D6E-409C-BE32-E72D297353CC}">
              <c16:uniqueId val="{00000005-8364-46AE-A3E0-7BFABE7F42FC}"/>
            </c:ext>
          </c:extLst>
        </c:ser>
        <c:dLbls>
          <c:showLegendKey val="0"/>
          <c:showVal val="0"/>
          <c:showCatName val="0"/>
          <c:showSerName val="0"/>
          <c:showPercent val="0"/>
          <c:showBubbleSize val="0"/>
        </c:dLbls>
        <c:axId val="206991744"/>
        <c:axId val="207034624"/>
      </c:scatterChart>
      <c:valAx>
        <c:axId val="206991744"/>
        <c:scaling>
          <c:orientation val="minMax"/>
        </c:scaling>
        <c:delete val="0"/>
        <c:axPos val="b"/>
        <c:majorGridlines/>
        <c:title>
          <c:tx>
            <c:rich>
              <a:bodyPr/>
              <a:lstStyle/>
              <a:p>
                <a:pPr>
                  <a:defRPr/>
                </a:pPr>
                <a:r>
                  <a:rPr lang="en-US"/>
                  <a:t>Per Phase Average Inductor Current  (A)</a:t>
                </a:r>
              </a:p>
            </c:rich>
          </c:tx>
          <c:overlay val="0"/>
        </c:title>
        <c:numFmt formatCode="General" sourceLinked="1"/>
        <c:majorTickMark val="out"/>
        <c:minorTickMark val="none"/>
        <c:tickLblPos val="nextTo"/>
        <c:crossAx val="207034624"/>
        <c:crosses val="autoZero"/>
        <c:crossBetween val="midCat"/>
      </c:valAx>
      <c:valAx>
        <c:axId val="207034624"/>
        <c:scaling>
          <c:orientation val="minMax"/>
          <c:max val="1"/>
          <c:min val="0"/>
        </c:scaling>
        <c:delete val="0"/>
        <c:axPos val="l"/>
        <c:majorGridlines/>
        <c:title>
          <c:tx>
            <c:rich>
              <a:bodyPr rot="-5400000" vert="horz"/>
              <a:lstStyle/>
              <a:p>
                <a:pPr>
                  <a:defRPr/>
                </a:pPr>
                <a:r>
                  <a:rPr lang="en-US"/>
                  <a:t>LO</a:t>
                </a:r>
                <a:r>
                  <a:rPr lang="en-US" baseline="0"/>
                  <a:t> Duty Cycle</a:t>
                </a:r>
                <a:endParaRPr lang="en-US"/>
              </a:p>
            </c:rich>
          </c:tx>
          <c:overlay val="0"/>
        </c:title>
        <c:numFmt formatCode="General" sourceLinked="1"/>
        <c:majorTickMark val="out"/>
        <c:minorTickMark val="none"/>
        <c:tickLblPos val="nextTo"/>
        <c:crossAx val="206991744"/>
        <c:crosses val="autoZero"/>
        <c:crossBetween val="midCat"/>
      </c:valAx>
    </c:plotArea>
    <c:legend>
      <c:legendPos val="b"/>
      <c:legendEntry>
        <c:idx val="3"/>
        <c:delete val="1"/>
      </c:legendEntry>
      <c:legendEntry>
        <c:idx val="4"/>
        <c:delete val="1"/>
      </c:legendEntry>
      <c:legendEntry>
        <c:idx val="5"/>
        <c:delete val="1"/>
      </c:legendEntry>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Buck Mode Duty Cycle</a:t>
            </a:r>
          </a:p>
        </c:rich>
      </c:tx>
      <c:overlay val="0"/>
    </c:title>
    <c:autoTitleDeleted val="0"/>
    <c:plotArea>
      <c:layout/>
      <c:scatterChart>
        <c:scatterStyle val="smoothMarker"/>
        <c:varyColors val="0"/>
        <c:ser>
          <c:idx val="0"/>
          <c:order val="0"/>
          <c:tx>
            <c:v>HV Port Min</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Calculations!$P$6:$P$56</c:f>
              <c:numCache>
                <c:formatCode>General</c:formatCode>
                <c:ptCount val="51"/>
                <c:pt idx="0">
                  <c:v>0</c:v>
                </c:pt>
                <c:pt idx="1">
                  <c:v>0.15405305784945772</c:v>
                </c:pt>
                <c:pt idx="2">
                  <c:v>0.21786392373575009</c:v>
                </c:pt>
                <c:pt idx="3">
                  <c:v>0.2668277232566082</c:v>
                </c:pt>
                <c:pt idx="4">
                  <c:v>0.30810611569891544</c:v>
                </c:pt>
                <c:pt idx="5">
                  <c:v>0.34447310949309495</c:v>
                </c:pt>
                <c:pt idx="6">
                  <c:v>0.37735138504663024</c:v>
                </c:pt>
                <c:pt idx="7">
                  <c:v>0.40758607977871197</c:v>
                </c:pt>
                <c:pt idx="8">
                  <c:v>0.43572784747150017</c:v>
                </c:pt>
                <c:pt idx="9">
                  <c:v>0.44687500000000002</c:v>
                </c:pt>
                <c:pt idx="10">
                  <c:v>0.44687500000000002</c:v>
                </c:pt>
                <c:pt idx="11">
                  <c:v>0.44687500000000002</c:v>
                </c:pt>
                <c:pt idx="12">
                  <c:v>0.44687500000000002</c:v>
                </c:pt>
                <c:pt idx="13">
                  <c:v>0.44687500000000002</c:v>
                </c:pt>
                <c:pt idx="14">
                  <c:v>0.44687500000000002</c:v>
                </c:pt>
                <c:pt idx="15">
                  <c:v>0.44687500000000002</c:v>
                </c:pt>
                <c:pt idx="16">
                  <c:v>0.44687500000000002</c:v>
                </c:pt>
                <c:pt idx="17">
                  <c:v>0.44687500000000002</c:v>
                </c:pt>
                <c:pt idx="18">
                  <c:v>0.44687500000000002</c:v>
                </c:pt>
                <c:pt idx="19">
                  <c:v>0.44687500000000002</c:v>
                </c:pt>
                <c:pt idx="20">
                  <c:v>0.44687500000000002</c:v>
                </c:pt>
                <c:pt idx="21">
                  <c:v>0.44687500000000002</c:v>
                </c:pt>
                <c:pt idx="22">
                  <c:v>0.44687500000000002</c:v>
                </c:pt>
                <c:pt idx="23">
                  <c:v>0.44687500000000002</c:v>
                </c:pt>
                <c:pt idx="24">
                  <c:v>0.44687500000000002</c:v>
                </c:pt>
                <c:pt idx="25">
                  <c:v>0.44687500000000002</c:v>
                </c:pt>
                <c:pt idx="26">
                  <c:v>0.44687500000000002</c:v>
                </c:pt>
                <c:pt idx="27">
                  <c:v>0.44687500000000002</c:v>
                </c:pt>
                <c:pt idx="28">
                  <c:v>0.44687500000000002</c:v>
                </c:pt>
                <c:pt idx="29">
                  <c:v>0.44687500000000002</c:v>
                </c:pt>
                <c:pt idx="30">
                  <c:v>0.44687500000000002</c:v>
                </c:pt>
                <c:pt idx="31">
                  <c:v>0.44687500000000002</c:v>
                </c:pt>
                <c:pt idx="32">
                  <c:v>0.44687500000000002</c:v>
                </c:pt>
                <c:pt idx="33">
                  <c:v>0.44687500000000002</c:v>
                </c:pt>
                <c:pt idx="34">
                  <c:v>0.44687500000000002</c:v>
                </c:pt>
                <c:pt idx="35">
                  <c:v>0.44687500000000002</c:v>
                </c:pt>
                <c:pt idx="36">
                  <c:v>0.44687500000000002</c:v>
                </c:pt>
                <c:pt idx="37">
                  <c:v>0.44687500000000002</c:v>
                </c:pt>
                <c:pt idx="38">
                  <c:v>0.44687500000000002</c:v>
                </c:pt>
                <c:pt idx="39">
                  <c:v>0.44687500000000002</c:v>
                </c:pt>
                <c:pt idx="40">
                  <c:v>0.44687500000000002</c:v>
                </c:pt>
                <c:pt idx="41">
                  <c:v>0.44687500000000002</c:v>
                </c:pt>
                <c:pt idx="42">
                  <c:v>0.44687500000000002</c:v>
                </c:pt>
                <c:pt idx="43">
                  <c:v>0.44687500000000002</c:v>
                </c:pt>
                <c:pt idx="44">
                  <c:v>0.44687500000000002</c:v>
                </c:pt>
                <c:pt idx="45">
                  <c:v>0.44687500000000002</c:v>
                </c:pt>
                <c:pt idx="46">
                  <c:v>0.44687500000000002</c:v>
                </c:pt>
                <c:pt idx="47">
                  <c:v>0.44687500000000002</c:v>
                </c:pt>
                <c:pt idx="48">
                  <c:v>0.44687500000000002</c:v>
                </c:pt>
                <c:pt idx="49">
                  <c:v>0.44687500000000002</c:v>
                </c:pt>
                <c:pt idx="50">
                  <c:v>0.44687500000000002</c:v>
                </c:pt>
              </c:numCache>
            </c:numRef>
          </c:yVal>
          <c:smooth val="1"/>
          <c:extLst>
            <c:ext xmlns:c16="http://schemas.microsoft.com/office/drawing/2014/chart" uri="{C3380CC4-5D6E-409C-BE32-E72D297353CC}">
              <c16:uniqueId val="{00000000-A88A-49FA-A910-0662731C8705}"/>
            </c:ext>
          </c:extLst>
        </c:ser>
        <c:ser>
          <c:idx val="1"/>
          <c:order val="1"/>
          <c:tx>
            <c:v>HV Port Nom</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Calculations!$T$6:$T$56</c:f>
              <c:numCache>
                <c:formatCode>General</c:formatCode>
                <c:ptCount val="51"/>
                <c:pt idx="0">
                  <c:v>0</c:v>
                </c:pt>
                <c:pt idx="1">
                  <c:v>9.1158333359329491E-2</c:v>
                </c:pt>
                <c:pt idx="2">
                  <c:v>0.1289173513600915</c:v>
                </c:pt>
                <c:pt idx="3">
                  <c:v>0.15789086491165957</c:v>
                </c:pt>
                <c:pt idx="4">
                  <c:v>0.18231666671865898</c:v>
                </c:pt>
                <c:pt idx="5">
                  <c:v>0.20383623010704749</c:v>
                </c:pt>
                <c:pt idx="6">
                  <c:v>0.22329140253288721</c:v>
                </c:pt>
                <c:pt idx="7">
                  <c:v>0.24118227999990899</c:v>
                </c:pt>
                <c:pt idx="8">
                  <c:v>0.257834702720183</c:v>
                </c:pt>
                <c:pt idx="9">
                  <c:v>0.27347500007798842</c:v>
                </c:pt>
                <c:pt idx="10">
                  <c:v>0.28826796112038955</c:v>
                </c:pt>
                <c:pt idx="11">
                  <c:v>0.29791666666666666</c:v>
                </c:pt>
                <c:pt idx="12">
                  <c:v>0.29791666666666666</c:v>
                </c:pt>
                <c:pt idx="13">
                  <c:v>0.29791666666666666</c:v>
                </c:pt>
                <c:pt idx="14">
                  <c:v>0.29791666666666666</c:v>
                </c:pt>
                <c:pt idx="15">
                  <c:v>0.29791666666666666</c:v>
                </c:pt>
                <c:pt idx="16">
                  <c:v>0.29791666666666666</c:v>
                </c:pt>
                <c:pt idx="17">
                  <c:v>0.29791666666666666</c:v>
                </c:pt>
                <c:pt idx="18">
                  <c:v>0.29791666666666666</c:v>
                </c:pt>
                <c:pt idx="19">
                  <c:v>0.29791666666666666</c:v>
                </c:pt>
                <c:pt idx="20">
                  <c:v>0.29791666666666666</c:v>
                </c:pt>
                <c:pt idx="21">
                  <c:v>0.29791666666666666</c:v>
                </c:pt>
                <c:pt idx="22">
                  <c:v>0.29791666666666666</c:v>
                </c:pt>
                <c:pt idx="23">
                  <c:v>0.29791666666666666</c:v>
                </c:pt>
                <c:pt idx="24">
                  <c:v>0.29791666666666666</c:v>
                </c:pt>
                <c:pt idx="25">
                  <c:v>0.29791666666666666</c:v>
                </c:pt>
                <c:pt idx="26">
                  <c:v>0.29791666666666666</c:v>
                </c:pt>
                <c:pt idx="27">
                  <c:v>0.29791666666666666</c:v>
                </c:pt>
                <c:pt idx="28">
                  <c:v>0.29791666666666666</c:v>
                </c:pt>
                <c:pt idx="29">
                  <c:v>0.29791666666666666</c:v>
                </c:pt>
                <c:pt idx="30">
                  <c:v>0.29791666666666666</c:v>
                </c:pt>
                <c:pt idx="31">
                  <c:v>0.29791666666666666</c:v>
                </c:pt>
                <c:pt idx="32">
                  <c:v>0.29791666666666666</c:v>
                </c:pt>
                <c:pt idx="33">
                  <c:v>0.29791666666666666</c:v>
                </c:pt>
                <c:pt idx="34">
                  <c:v>0.29791666666666666</c:v>
                </c:pt>
                <c:pt idx="35">
                  <c:v>0.29791666666666666</c:v>
                </c:pt>
                <c:pt idx="36">
                  <c:v>0.29791666666666666</c:v>
                </c:pt>
                <c:pt idx="37">
                  <c:v>0.29791666666666666</c:v>
                </c:pt>
                <c:pt idx="38">
                  <c:v>0.29791666666666666</c:v>
                </c:pt>
                <c:pt idx="39">
                  <c:v>0.29791666666666666</c:v>
                </c:pt>
                <c:pt idx="40">
                  <c:v>0.29791666666666666</c:v>
                </c:pt>
                <c:pt idx="41">
                  <c:v>0.29791666666666666</c:v>
                </c:pt>
                <c:pt idx="42">
                  <c:v>0.29791666666666666</c:v>
                </c:pt>
                <c:pt idx="43">
                  <c:v>0.29791666666666666</c:v>
                </c:pt>
                <c:pt idx="44">
                  <c:v>0.29791666666666666</c:v>
                </c:pt>
                <c:pt idx="45">
                  <c:v>0.29791666666666666</c:v>
                </c:pt>
                <c:pt idx="46">
                  <c:v>0.29791666666666666</c:v>
                </c:pt>
                <c:pt idx="47">
                  <c:v>0.29791666666666666</c:v>
                </c:pt>
                <c:pt idx="48">
                  <c:v>0.29791666666666666</c:v>
                </c:pt>
                <c:pt idx="49">
                  <c:v>0.29791666666666666</c:v>
                </c:pt>
                <c:pt idx="50">
                  <c:v>0.29791666666666666</c:v>
                </c:pt>
              </c:numCache>
            </c:numRef>
          </c:yVal>
          <c:smooth val="1"/>
          <c:extLst>
            <c:ext xmlns:c16="http://schemas.microsoft.com/office/drawing/2014/chart" uri="{C3380CC4-5D6E-409C-BE32-E72D297353CC}">
              <c16:uniqueId val="{00000001-A88A-49FA-A910-0662731C8705}"/>
            </c:ext>
          </c:extLst>
        </c:ser>
        <c:ser>
          <c:idx val="2"/>
          <c:order val="2"/>
          <c:tx>
            <c:v>HV Port Max</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Calculations!$X$6:$X$56</c:f>
              <c:numCache>
                <c:formatCode>General</c:formatCode>
                <c:ptCount val="51"/>
                <c:pt idx="0">
                  <c:v>0</c:v>
                </c:pt>
                <c:pt idx="1">
                  <c:v>5.6882384118055178E-2</c:v>
                </c:pt>
                <c:pt idx="2">
                  <c:v>8.0443839079869572E-2</c:v>
                </c:pt>
                <c:pt idx="3">
                  <c:v>9.8523179348120563E-2</c:v>
                </c:pt>
                <c:pt idx="4">
                  <c:v>0.11376476823611036</c:v>
                </c:pt>
                <c:pt idx="5">
                  <c:v>0.1271928776102258</c:v>
                </c:pt>
                <c:pt idx="6">
                  <c:v>0.13933281644222892</c:v>
                </c:pt>
                <c:pt idx="7">
                  <c:v>0.15049664235682414</c:v>
                </c:pt>
                <c:pt idx="8">
                  <c:v>0.16088767815973914</c:v>
                </c:pt>
                <c:pt idx="9">
                  <c:v>0.17064715235416553</c:v>
                </c:pt>
                <c:pt idx="10">
                  <c:v>0.1798778925536425</c:v>
                </c:pt>
                <c:pt idx="11">
                  <c:v>0.18865752530046009</c:v>
                </c:pt>
                <c:pt idx="12">
                  <c:v>0.19704635869624113</c:v>
                </c:pt>
                <c:pt idx="13">
                  <c:v>0.19861111111111113</c:v>
                </c:pt>
                <c:pt idx="14">
                  <c:v>0.19861111111111113</c:v>
                </c:pt>
                <c:pt idx="15">
                  <c:v>0.19861111111111113</c:v>
                </c:pt>
                <c:pt idx="16">
                  <c:v>0.19861111111111113</c:v>
                </c:pt>
                <c:pt idx="17">
                  <c:v>0.19861111111111113</c:v>
                </c:pt>
                <c:pt idx="18">
                  <c:v>0.19861111111111113</c:v>
                </c:pt>
                <c:pt idx="19">
                  <c:v>0.19861111111111113</c:v>
                </c:pt>
                <c:pt idx="20">
                  <c:v>0.19861111111111113</c:v>
                </c:pt>
                <c:pt idx="21">
                  <c:v>0.19861111111111113</c:v>
                </c:pt>
                <c:pt idx="22">
                  <c:v>0.19861111111111113</c:v>
                </c:pt>
                <c:pt idx="23">
                  <c:v>0.19861111111111113</c:v>
                </c:pt>
                <c:pt idx="24">
                  <c:v>0.19861111111111113</c:v>
                </c:pt>
                <c:pt idx="25">
                  <c:v>0.19861111111111113</c:v>
                </c:pt>
                <c:pt idx="26">
                  <c:v>0.19861111111111113</c:v>
                </c:pt>
                <c:pt idx="27">
                  <c:v>0.19861111111111113</c:v>
                </c:pt>
                <c:pt idx="28">
                  <c:v>0.19861111111111113</c:v>
                </c:pt>
                <c:pt idx="29">
                  <c:v>0.19861111111111113</c:v>
                </c:pt>
                <c:pt idx="30">
                  <c:v>0.19861111111111113</c:v>
                </c:pt>
                <c:pt idx="31">
                  <c:v>0.19861111111111113</c:v>
                </c:pt>
                <c:pt idx="32">
                  <c:v>0.19861111111111113</c:v>
                </c:pt>
                <c:pt idx="33">
                  <c:v>0.19861111111111113</c:v>
                </c:pt>
                <c:pt idx="34">
                  <c:v>0.19861111111111113</c:v>
                </c:pt>
                <c:pt idx="35">
                  <c:v>0.19861111111111113</c:v>
                </c:pt>
                <c:pt idx="36">
                  <c:v>0.19861111111111113</c:v>
                </c:pt>
                <c:pt idx="37">
                  <c:v>0.19861111111111113</c:v>
                </c:pt>
                <c:pt idx="38">
                  <c:v>0.19861111111111113</c:v>
                </c:pt>
                <c:pt idx="39">
                  <c:v>0.19861111111111113</c:v>
                </c:pt>
                <c:pt idx="40">
                  <c:v>0.19861111111111113</c:v>
                </c:pt>
                <c:pt idx="41">
                  <c:v>0.19861111111111113</c:v>
                </c:pt>
                <c:pt idx="42">
                  <c:v>0.19861111111111113</c:v>
                </c:pt>
                <c:pt idx="43">
                  <c:v>0.19861111111111113</c:v>
                </c:pt>
                <c:pt idx="44">
                  <c:v>0.19861111111111113</c:v>
                </c:pt>
                <c:pt idx="45">
                  <c:v>0.19861111111111113</c:v>
                </c:pt>
                <c:pt idx="46">
                  <c:v>0.19861111111111113</c:v>
                </c:pt>
                <c:pt idx="47">
                  <c:v>0.19861111111111113</c:v>
                </c:pt>
                <c:pt idx="48">
                  <c:v>0.19861111111111113</c:v>
                </c:pt>
                <c:pt idx="49">
                  <c:v>0.19861111111111113</c:v>
                </c:pt>
                <c:pt idx="50">
                  <c:v>0.19861111111111113</c:v>
                </c:pt>
              </c:numCache>
            </c:numRef>
          </c:yVal>
          <c:smooth val="1"/>
          <c:extLst>
            <c:ext xmlns:c16="http://schemas.microsoft.com/office/drawing/2014/chart" uri="{C3380CC4-5D6E-409C-BE32-E72D297353CC}">
              <c16:uniqueId val="{00000002-A88A-49FA-A910-0662731C8705}"/>
            </c:ext>
          </c:extLst>
        </c:ser>
        <c:ser>
          <c:idx val="3"/>
          <c:order val="3"/>
          <c:marker>
            <c:symbol val="circle"/>
            <c:size val="10"/>
            <c:spPr>
              <a:noFill/>
              <a:ln w="22225">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Calculations!$B$47</c:f>
              <c:numCache>
                <c:formatCode>0.000</c:formatCode>
                <c:ptCount val="1"/>
                <c:pt idx="0">
                  <c:v>8.4145611702127656</c:v>
                </c:pt>
              </c:numCache>
            </c:numRef>
          </c:xVal>
          <c:yVal>
            <c:numRef>
              <c:f>Calculations!$B$48</c:f>
              <c:numCache>
                <c:formatCode>General</c:formatCode>
                <c:ptCount val="1"/>
                <c:pt idx="0">
                  <c:v>0.44687500000000002</c:v>
                </c:pt>
              </c:numCache>
            </c:numRef>
          </c:yVal>
          <c:smooth val="1"/>
          <c:extLst>
            <c:ext xmlns:c16="http://schemas.microsoft.com/office/drawing/2014/chart" uri="{C3380CC4-5D6E-409C-BE32-E72D297353CC}">
              <c16:uniqueId val="{00000003-A88A-49FA-A910-0662731C8705}"/>
            </c:ext>
          </c:extLst>
        </c:ser>
        <c:ser>
          <c:idx val="4"/>
          <c:order val="4"/>
          <c:marker>
            <c:symbol val="circle"/>
            <c:size val="10"/>
            <c:spPr>
              <a:noFill/>
              <a:ln w="22225">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Calculations!$B$50</c:f>
              <c:numCache>
                <c:formatCode>0.000</c:formatCode>
                <c:ptCount val="1"/>
                <c:pt idx="0">
                  <c:v>10.680629432624114</c:v>
                </c:pt>
              </c:numCache>
            </c:numRef>
          </c:xVal>
          <c:yVal>
            <c:numRef>
              <c:f>Calculations!$B$51</c:f>
              <c:numCache>
                <c:formatCode>0.0000</c:formatCode>
                <c:ptCount val="1"/>
                <c:pt idx="0">
                  <c:v>0.29791666666666666</c:v>
                </c:pt>
              </c:numCache>
            </c:numRef>
          </c:yVal>
          <c:smooth val="1"/>
          <c:extLst>
            <c:ext xmlns:c16="http://schemas.microsoft.com/office/drawing/2014/chart" uri="{C3380CC4-5D6E-409C-BE32-E72D297353CC}">
              <c16:uniqueId val="{00000004-A88A-49FA-A910-0662731C8705}"/>
            </c:ext>
          </c:extLst>
        </c:ser>
        <c:ser>
          <c:idx val="5"/>
          <c:order val="5"/>
          <c:marker>
            <c:symbol val="circle"/>
            <c:size val="10"/>
            <c:spPr>
              <a:noFill/>
              <a:ln w="22225">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Calculations!$B$53</c:f>
              <c:numCache>
                <c:formatCode>0.000</c:formatCode>
                <c:ptCount val="1"/>
                <c:pt idx="0">
                  <c:v>12.191341607565013</c:v>
                </c:pt>
              </c:numCache>
            </c:numRef>
          </c:xVal>
          <c:yVal>
            <c:numRef>
              <c:f>Calculations!$B$54</c:f>
              <c:numCache>
                <c:formatCode>0.000</c:formatCode>
                <c:ptCount val="1"/>
                <c:pt idx="0">
                  <c:v>0.19861111111111113</c:v>
                </c:pt>
              </c:numCache>
            </c:numRef>
          </c:yVal>
          <c:smooth val="1"/>
          <c:extLst>
            <c:ext xmlns:c16="http://schemas.microsoft.com/office/drawing/2014/chart" uri="{C3380CC4-5D6E-409C-BE32-E72D297353CC}">
              <c16:uniqueId val="{00000005-A88A-49FA-A910-0662731C8705}"/>
            </c:ext>
          </c:extLst>
        </c:ser>
        <c:dLbls>
          <c:showLegendKey val="0"/>
          <c:showVal val="0"/>
          <c:showCatName val="0"/>
          <c:showSerName val="0"/>
          <c:showPercent val="0"/>
          <c:showBubbleSize val="0"/>
        </c:dLbls>
        <c:axId val="207993472"/>
        <c:axId val="208188928"/>
      </c:scatterChart>
      <c:valAx>
        <c:axId val="207993472"/>
        <c:scaling>
          <c:orientation val="minMax"/>
        </c:scaling>
        <c:delete val="0"/>
        <c:axPos val="b"/>
        <c:majorGridlines/>
        <c:title>
          <c:tx>
            <c:rich>
              <a:bodyPr/>
              <a:lstStyle/>
              <a:p>
                <a:pPr>
                  <a:defRPr/>
                </a:pPr>
                <a:r>
                  <a:rPr lang="en-US"/>
                  <a:t>Per</a:t>
                </a:r>
                <a:r>
                  <a:rPr lang="en-US" baseline="0"/>
                  <a:t> Phase Average Inductor Current (A)</a:t>
                </a:r>
                <a:endParaRPr lang="en-US"/>
              </a:p>
            </c:rich>
          </c:tx>
          <c:overlay val="0"/>
        </c:title>
        <c:numFmt formatCode="General" sourceLinked="1"/>
        <c:majorTickMark val="out"/>
        <c:minorTickMark val="none"/>
        <c:tickLblPos val="nextTo"/>
        <c:crossAx val="208188928"/>
        <c:crosses val="autoZero"/>
        <c:crossBetween val="midCat"/>
      </c:valAx>
      <c:valAx>
        <c:axId val="208188928"/>
        <c:scaling>
          <c:orientation val="minMax"/>
          <c:max val="1"/>
          <c:min val="0"/>
        </c:scaling>
        <c:delete val="0"/>
        <c:axPos val="l"/>
        <c:majorGridlines/>
        <c:title>
          <c:tx>
            <c:rich>
              <a:bodyPr rot="-5400000" vert="horz"/>
              <a:lstStyle/>
              <a:p>
                <a:pPr>
                  <a:defRPr/>
                </a:pPr>
                <a:r>
                  <a:rPr lang="en-US"/>
                  <a:t>HO</a:t>
                </a:r>
                <a:r>
                  <a:rPr lang="en-US" baseline="0"/>
                  <a:t> Duty Cycle</a:t>
                </a:r>
                <a:endParaRPr lang="en-US"/>
              </a:p>
            </c:rich>
          </c:tx>
          <c:overlay val="0"/>
        </c:title>
        <c:numFmt formatCode="General" sourceLinked="1"/>
        <c:majorTickMark val="out"/>
        <c:minorTickMark val="none"/>
        <c:tickLblPos val="nextTo"/>
        <c:crossAx val="207993472"/>
        <c:crosses val="autoZero"/>
        <c:crossBetween val="midCat"/>
      </c:valAx>
    </c:plotArea>
    <c:legend>
      <c:legendPos val="b"/>
      <c:legendEntry>
        <c:idx val="3"/>
        <c:delete val="1"/>
      </c:legendEntry>
      <c:legendEntry>
        <c:idx val="4"/>
        <c:delete val="1"/>
      </c:legendEntry>
      <c:legendEntry>
        <c:idx val="5"/>
        <c:delete val="1"/>
      </c:legendEntry>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Boost Mode Duty Cycle</a:t>
            </a:r>
          </a:p>
        </c:rich>
      </c:tx>
      <c:overlay val="0"/>
    </c:title>
    <c:autoTitleDeleted val="0"/>
    <c:plotArea>
      <c:layout/>
      <c:scatterChart>
        <c:scatterStyle val="smoothMarker"/>
        <c:varyColors val="0"/>
        <c:ser>
          <c:idx val="0"/>
          <c:order val="0"/>
          <c:tx>
            <c:v>LV Port Min</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Calculations!$AC$6:$AC$56</c:f>
              <c:numCache>
                <c:formatCode>General</c:formatCode>
                <c:ptCount val="51"/>
                <c:pt idx="0">
                  <c:v>0</c:v>
                </c:pt>
                <c:pt idx="1">
                  <c:v>0.24238399287081641</c:v>
                </c:pt>
                <c:pt idx="2">
                  <c:v>0.34278273002005222</c:v>
                </c:pt>
                <c:pt idx="3">
                  <c:v>0.41982139059366663</c:v>
                </c:pt>
                <c:pt idx="4">
                  <c:v>0.48476798574163282</c:v>
                </c:pt>
                <c:pt idx="5">
                  <c:v>0.54198708471696999</c:v>
                </c:pt>
                <c:pt idx="6">
                  <c:v>0.59371710435189584</c:v>
                </c:pt>
                <c:pt idx="7">
                  <c:v>0.641287766919033</c:v>
                </c:pt>
                <c:pt idx="8">
                  <c:v>0.68556546004010444</c:v>
                </c:pt>
                <c:pt idx="9">
                  <c:v>0.72715197861244929</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numCache>
            </c:numRef>
          </c:yVal>
          <c:smooth val="1"/>
          <c:extLst>
            <c:ext xmlns:c16="http://schemas.microsoft.com/office/drawing/2014/chart" uri="{C3380CC4-5D6E-409C-BE32-E72D297353CC}">
              <c16:uniqueId val="{00000000-B1D8-40E6-A8D9-0B7A5EBEA022}"/>
            </c:ext>
          </c:extLst>
        </c:ser>
        <c:ser>
          <c:idx val="1"/>
          <c:order val="1"/>
          <c:tx>
            <c:v>LV Port Nom</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Calculations!$AG$6:$AG$56</c:f>
              <c:numCache>
                <c:formatCode>General</c:formatCode>
                <c:ptCount val="51"/>
                <c:pt idx="0">
                  <c:v>0</c:v>
                </c:pt>
                <c:pt idx="1">
                  <c:v>0.21482768071394431</c:v>
                </c:pt>
                <c:pt idx="2">
                  <c:v>0.30381221963881705</c:v>
                </c:pt>
                <c:pt idx="3">
                  <c:v>0.37209245786873618</c:v>
                </c:pt>
                <c:pt idx="4">
                  <c:v>0.42965536142788863</c:v>
                </c:pt>
                <c:pt idx="5">
                  <c:v>0.48036929752500002</c:v>
                </c:pt>
                <c:pt idx="6">
                  <c:v>0.52621820037470624</c:v>
                </c:pt>
                <c:pt idx="7">
                  <c:v>0.56838061790188343</c:v>
                </c:pt>
                <c:pt idx="8">
                  <c:v>0.6076244392776341</c:v>
                </c:pt>
                <c:pt idx="9">
                  <c:v>0.64448304214183283</c:v>
                </c:pt>
                <c:pt idx="10">
                  <c:v>0.67934477550749151</c:v>
                </c:pt>
                <c:pt idx="11">
                  <c:v>0.70208333333333339</c:v>
                </c:pt>
                <c:pt idx="12">
                  <c:v>0.70208333333333339</c:v>
                </c:pt>
                <c:pt idx="13">
                  <c:v>0.70208333333333339</c:v>
                </c:pt>
                <c:pt idx="14">
                  <c:v>0.70208333333333339</c:v>
                </c:pt>
                <c:pt idx="15">
                  <c:v>0.70208333333333339</c:v>
                </c:pt>
                <c:pt idx="16">
                  <c:v>0.70208333333333339</c:v>
                </c:pt>
                <c:pt idx="17">
                  <c:v>0.70208333333333339</c:v>
                </c:pt>
                <c:pt idx="18">
                  <c:v>0.70208333333333339</c:v>
                </c:pt>
                <c:pt idx="19">
                  <c:v>0.70208333333333339</c:v>
                </c:pt>
                <c:pt idx="20">
                  <c:v>0.70208333333333339</c:v>
                </c:pt>
                <c:pt idx="21">
                  <c:v>0.70208333333333339</c:v>
                </c:pt>
                <c:pt idx="22">
                  <c:v>0.70208333333333339</c:v>
                </c:pt>
                <c:pt idx="23">
                  <c:v>0.70208333333333339</c:v>
                </c:pt>
                <c:pt idx="24">
                  <c:v>0.70208333333333339</c:v>
                </c:pt>
                <c:pt idx="25">
                  <c:v>0.70208333333333339</c:v>
                </c:pt>
                <c:pt idx="26">
                  <c:v>0.70208333333333339</c:v>
                </c:pt>
                <c:pt idx="27">
                  <c:v>0.70208333333333339</c:v>
                </c:pt>
                <c:pt idx="28">
                  <c:v>0.70208333333333339</c:v>
                </c:pt>
                <c:pt idx="29">
                  <c:v>0.70208333333333339</c:v>
                </c:pt>
                <c:pt idx="30">
                  <c:v>0.70208333333333339</c:v>
                </c:pt>
                <c:pt idx="31">
                  <c:v>0.70208333333333339</c:v>
                </c:pt>
                <c:pt idx="32">
                  <c:v>0.70208333333333339</c:v>
                </c:pt>
                <c:pt idx="33">
                  <c:v>0.70208333333333339</c:v>
                </c:pt>
                <c:pt idx="34">
                  <c:v>0.70208333333333339</c:v>
                </c:pt>
                <c:pt idx="35">
                  <c:v>0.70208333333333339</c:v>
                </c:pt>
                <c:pt idx="36">
                  <c:v>0.70208333333333339</c:v>
                </c:pt>
                <c:pt idx="37">
                  <c:v>0.70208333333333339</c:v>
                </c:pt>
                <c:pt idx="38">
                  <c:v>0.70208333333333339</c:v>
                </c:pt>
                <c:pt idx="39">
                  <c:v>0.70208333333333339</c:v>
                </c:pt>
                <c:pt idx="40">
                  <c:v>0.70208333333333339</c:v>
                </c:pt>
                <c:pt idx="41">
                  <c:v>0.70208333333333339</c:v>
                </c:pt>
                <c:pt idx="42">
                  <c:v>0.70208333333333339</c:v>
                </c:pt>
                <c:pt idx="43">
                  <c:v>0.70208333333333339</c:v>
                </c:pt>
                <c:pt idx="44">
                  <c:v>0.70208333333333339</c:v>
                </c:pt>
                <c:pt idx="45">
                  <c:v>0.70208333333333339</c:v>
                </c:pt>
                <c:pt idx="46">
                  <c:v>0.70208333333333339</c:v>
                </c:pt>
                <c:pt idx="47">
                  <c:v>0.70208333333333339</c:v>
                </c:pt>
                <c:pt idx="48">
                  <c:v>0.70208333333333339</c:v>
                </c:pt>
                <c:pt idx="49">
                  <c:v>0.70208333333333339</c:v>
                </c:pt>
                <c:pt idx="50">
                  <c:v>0.70208333333333339</c:v>
                </c:pt>
              </c:numCache>
            </c:numRef>
          </c:yVal>
          <c:smooth val="1"/>
          <c:extLst>
            <c:ext xmlns:c16="http://schemas.microsoft.com/office/drawing/2014/chart" uri="{C3380CC4-5D6E-409C-BE32-E72D297353CC}">
              <c16:uniqueId val="{00000001-B1D8-40E6-A8D9-0B7A5EBEA022}"/>
            </c:ext>
          </c:extLst>
        </c:ser>
        <c:ser>
          <c:idx val="2"/>
          <c:order val="2"/>
          <c:tx>
            <c:v>LV Port Max</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Calculations!$AK$6:$AK$56</c:f>
              <c:numCache>
                <c:formatCode>General</c:formatCode>
                <c:ptCount val="51"/>
                <c:pt idx="0">
                  <c:v>0</c:v>
                </c:pt>
                <c:pt idx="1">
                  <c:v>0.19790570145063194</c:v>
                </c:pt>
                <c:pt idx="2">
                  <c:v>0.27988092706244438</c:v>
                </c:pt>
                <c:pt idx="3">
                  <c:v>0.34278273002005222</c:v>
                </c:pt>
                <c:pt idx="4">
                  <c:v>0.39581140290126388</c:v>
                </c:pt>
                <c:pt idx="5">
                  <c:v>0.44253060157839175</c:v>
                </c:pt>
                <c:pt idx="6">
                  <c:v>0.48476798574163293</c:v>
                </c:pt>
                <c:pt idx="7">
                  <c:v>0.52360926908016692</c:v>
                </c:pt>
                <c:pt idx="8">
                  <c:v>0.55976185412488877</c:v>
                </c:pt>
                <c:pt idx="9">
                  <c:v>0.59371710435189584</c:v>
                </c:pt>
                <c:pt idx="10">
                  <c:v>0.62583277851728625</c:v>
                </c:pt>
                <c:pt idx="11">
                  <c:v>0.65637895558384052</c:v>
                </c:pt>
                <c:pt idx="12">
                  <c:v>0.66666666666666674</c:v>
                </c:pt>
                <c:pt idx="13">
                  <c:v>0.66666666666666674</c:v>
                </c:pt>
                <c:pt idx="14">
                  <c:v>0.66666666666666674</c:v>
                </c:pt>
                <c:pt idx="15">
                  <c:v>0.66666666666666674</c:v>
                </c:pt>
                <c:pt idx="16">
                  <c:v>0.66666666666666674</c:v>
                </c:pt>
                <c:pt idx="17">
                  <c:v>0.66666666666666674</c:v>
                </c:pt>
                <c:pt idx="18">
                  <c:v>0.66666666666666674</c:v>
                </c:pt>
                <c:pt idx="19">
                  <c:v>0.66666666666666674</c:v>
                </c:pt>
                <c:pt idx="20">
                  <c:v>0.66666666666666674</c:v>
                </c:pt>
                <c:pt idx="21">
                  <c:v>0.66666666666666674</c:v>
                </c:pt>
                <c:pt idx="22">
                  <c:v>0.66666666666666674</c:v>
                </c:pt>
                <c:pt idx="23">
                  <c:v>0.66666666666666674</c:v>
                </c:pt>
                <c:pt idx="24">
                  <c:v>0.66666666666666674</c:v>
                </c:pt>
                <c:pt idx="25">
                  <c:v>0.66666666666666674</c:v>
                </c:pt>
                <c:pt idx="26">
                  <c:v>0.66666666666666674</c:v>
                </c:pt>
                <c:pt idx="27">
                  <c:v>0.66666666666666674</c:v>
                </c:pt>
                <c:pt idx="28">
                  <c:v>0.66666666666666674</c:v>
                </c:pt>
                <c:pt idx="29">
                  <c:v>0.66666666666666674</c:v>
                </c:pt>
                <c:pt idx="30">
                  <c:v>0.66666666666666674</c:v>
                </c:pt>
                <c:pt idx="31">
                  <c:v>0.66666666666666674</c:v>
                </c:pt>
                <c:pt idx="32">
                  <c:v>0.66666666666666674</c:v>
                </c:pt>
                <c:pt idx="33">
                  <c:v>0.66666666666666674</c:v>
                </c:pt>
                <c:pt idx="34">
                  <c:v>0.66666666666666674</c:v>
                </c:pt>
                <c:pt idx="35">
                  <c:v>0.66666666666666674</c:v>
                </c:pt>
                <c:pt idx="36">
                  <c:v>0.66666666666666674</c:v>
                </c:pt>
                <c:pt idx="37">
                  <c:v>0.66666666666666674</c:v>
                </c:pt>
                <c:pt idx="38">
                  <c:v>0.66666666666666674</c:v>
                </c:pt>
                <c:pt idx="39">
                  <c:v>0.66666666666666674</c:v>
                </c:pt>
                <c:pt idx="40">
                  <c:v>0.66666666666666674</c:v>
                </c:pt>
                <c:pt idx="41">
                  <c:v>0.66666666666666674</c:v>
                </c:pt>
                <c:pt idx="42">
                  <c:v>0.66666666666666674</c:v>
                </c:pt>
                <c:pt idx="43">
                  <c:v>0.66666666666666674</c:v>
                </c:pt>
                <c:pt idx="44">
                  <c:v>0.66666666666666674</c:v>
                </c:pt>
                <c:pt idx="45">
                  <c:v>0.66666666666666674</c:v>
                </c:pt>
                <c:pt idx="46">
                  <c:v>0.66666666666666674</c:v>
                </c:pt>
                <c:pt idx="47">
                  <c:v>0.66666666666666674</c:v>
                </c:pt>
                <c:pt idx="48">
                  <c:v>0.66666666666666674</c:v>
                </c:pt>
                <c:pt idx="49">
                  <c:v>0.66666666666666674</c:v>
                </c:pt>
                <c:pt idx="50">
                  <c:v>0.66666666666666674</c:v>
                </c:pt>
              </c:numCache>
            </c:numRef>
          </c:yVal>
          <c:smooth val="1"/>
          <c:extLst>
            <c:ext xmlns:c16="http://schemas.microsoft.com/office/drawing/2014/chart" uri="{C3380CC4-5D6E-409C-BE32-E72D297353CC}">
              <c16:uniqueId val="{00000002-B1D8-40E6-A8D9-0B7A5EBEA022}"/>
            </c:ext>
          </c:extLst>
        </c:ser>
        <c:ser>
          <c:idx val="3"/>
          <c:order val="3"/>
          <c:marker>
            <c:symbol val="circle"/>
            <c:size val="11"/>
            <c:spPr>
              <a:noFill/>
              <a:ln w="22225">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Calculations!$B$56</c:f>
              <c:numCache>
                <c:formatCode>0.000</c:formatCode>
                <c:ptCount val="1"/>
                <c:pt idx="0">
                  <c:v>9.5744680851063837</c:v>
                </c:pt>
              </c:numCache>
            </c:numRef>
          </c:xVal>
          <c:yVal>
            <c:numRef>
              <c:f>Calculations!$B$57</c:f>
              <c:numCache>
                <c:formatCode>General</c:formatCode>
                <c:ptCount val="1"/>
                <c:pt idx="0">
                  <c:v>0.75</c:v>
                </c:pt>
              </c:numCache>
            </c:numRef>
          </c:yVal>
          <c:smooth val="0"/>
          <c:extLst>
            <c:ext xmlns:c16="http://schemas.microsoft.com/office/drawing/2014/chart" uri="{C3380CC4-5D6E-409C-BE32-E72D297353CC}">
              <c16:uniqueId val="{00000003-B1D8-40E6-A8D9-0B7A5EBEA022}"/>
            </c:ext>
          </c:extLst>
        </c:ser>
        <c:ser>
          <c:idx val="4"/>
          <c:order val="4"/>
          <c:tx>
            <c:v>LV Nom</c:v>
          </c:tx>
          <c:spPr>
            <a:ln w="47625"/>
          </c:spPr>
          <c:marker>
            <c:symbol val="circle"/>
            <c:size val="11"/>
            <c:spPr>
              <a:noFill/>
              <a:ln w="22225">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Calculations!$B$59</c:f>
              <c:numCache>
                <c:formatCode>0.000</c:formatCode>
                <c:ptCount val="1"/>
                <c:pt idx="0">
                  <c:v>10.680629432624114</c:v>
                </c:pt>
              </c:numCache>
            </c:numRef>
          </c:xVal>
          <c:yVal>
            <c:numRef>
              <c:f>Calculations!$B$60</c:f>
              <c:numCache>
                <c:formatCode>0.000</c:formatCode>
                <c:ptCount val="1"/>
                <c:pt idx="0">
                  <c:v>0.70208333333333339</c:v>
                </c:pt>
              </c:numCache>
            </c:numRef>
          </c:yVal>
          <c:smooth val="0"/>
          <c:extLst>
            <c:ext xmlns:c16="http://schemas.microsoft.com/office/drawing/2014/chart" uri="{C3380CC4-5D6E-409C-BE32-E72D297353CC}">
              <c16:uniqueId val="{00000004-B1D8-40E6-A8D9-0B7A5EBEA022}"/>
            </c:ext>
          </c:extLst>
        </c:ser>
        <c:ser>
          <c:idx val="5"/>
          <c:order val="5"/>
          <c:marker>
            <c:symbol val="circle"/>
            <c:size val="11"/>
            <c:spPr>
              <a:noFill/>
              <a:ln w="25400">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Calculations!$B$62</c:f>
              <c:numCache>
                <c:formatCode>0.000</c:formatCode>
                <c:ptCount val="1"/>
                <c:pt idx="0">
                  <c:v>11.347517730496453</c:v>
                </c:pt>
              </c:numCache>
            </c:numRef>
          </c:xVal>
          <c:yVal>
            <c:numRef>
              <c:f>Calculations!$B$63</c:f>
              <c:numCache>
                <c:formatCode>General</c:formatCode>
                <c:ptCount val="1"/>
                <c:pt idx="0">
                  <c:v>0.66666666666666674</c:v>
                </c:pt>
              </c:numCache>
            </c:numRef>
          </c:yVal>
          <c:smooth val="1"/>
          <c:extLst>
            <c:ext xmlns:c16="http://schemas.microsoft.com/office/drawing/2014/chart" uri="{C3380CC4-5D6E-409C-BE32-E72D297353CC}">
              <c16:uniqueId val="{00000005-B1D8-40E6-A8D9-0B7A5EBEA022}"/>
            </c:ext>
          </c:extLst>
        </c:ser>
        <c:dLbls>
          <c:showLegendKey val="0"/>
          <c:showVal val="0"/>
          <c:showCatName val="0"/>
          <c:showSerName val="0"/>
          <c:showPercent val="0"/>
          <c:showBubbleSize val="0"/>
        </c:dLbls>
        <c:axId val="206991744"/>
        <c:axId val="207034624"/>
      </c:scatterChart>
      <c:valAx>
        <c:axId val="206991744"/>
        <c:scaling>
          <c:orientation val="minMax"/>
        </c:scaling>
        <c:delete val="0"/>
        <c:axPos val="b"/>
        <c:majorGridlines/>
        <c:title>
          <c:tx>
            <c:rich>
              <a:bodyPr/>
              <a:lstStyle/>
              <a:p>
                <a:pPr>
                  <a:defRPr/>
                </a:pPr>
                <a:r>
                  <a:rPr lang="en-US"/>
                  <a:t>Per Phase Average Inductor Current  (A)</a:t>
                </a:r>
              </a:p>
            </c:rich>
          </c:tx>
          <c:overlay val="0"/>
        </c:title>
        <c:numFmt formatCode="General" sourceLinked="1"/>
        <c:majorTickMark val="out"/>
        <c:minorTickMark val="none"/>
        <c:tickLblPos val="nextTo"/>
        <c:crossAx val="207034624"/>
        <c:crosses val="autoZero"/>
        <c:crossBetween val="midCat"/>
      </c:valAx>
      <c:valAx>
        <c:axId val="207034624"/>
        <c:scaling>
          <c:orientation val="minMax"/>
          <c:max val="1"/>
          <c:min val="0"/>
        </c:scaling>
        <c:delete val="0"/>
        <c:axPos val="l"/>
        <c:majorGridlines/>
        <c:title>
          <c:tx>
            <c:rich>
              <a:bodyPr rot="-5400000" vert="horz"/>
              <a:lstStyle/>
              <a:p>
                <a:pPr>
                  <a:defRPr/>
                </a:pPr>
                <a:r>
                  <a:rPr lang="en-US"/>
                  <a:t>LO</a:t>
                </a:r>
                <a:r>
                  <a:rPr lang="en-US" baseline="0"/>
                  <a:t> Duty Cycle</a:t>
                </a:r>
                <a:endParaRPr lang="en-US"/>
              </a:p>
            </c:rich>
          </c:tx>
          <c:overlay val="0"/>
        </c:title>
        <c:numFmt formatCode="General" sourceLinked="1"/>
        <c:majorTickMark val="out"/>
        <c:minorTickMark val="none"/>
        <c:tickLblPos val="nextTo"/>
        <c:crossAx val="206991744"/>
        <c:crosses val="autoZero"/>
        <c:crossBetween val="midCat"/>
      </c:valAx>
    </c:plotArea>
    <c:legend>
      <c:legendPos val="b"/>
      <c:legendEntry>
        <c:idx val="3"/>
        <c:delete val="1"/>
      </c:legendEntry>
      <c:legendEntry>
        <c:idx val="4"/>
        <c:delete val="1"/>
      </c:legendEntry>
      <c:legendEntry>
        <c:idx val="5"/>
        <c:delete val="1"/>
      </c:legendEntry>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Buck Mode Duty Cycle</a:t>
            </a:r>
          </a:p>
        </c:rich>
      </c:tx>
      <c:overlay val="0"/>
    </c:title>
    <c:autoTitleDeleted val="0"/>
    <c:plotArea>
      <c:layout/>
      <c:scatterChart>
        <c:scatterStyle val="smoothMarker"/>
        <c:varyColors val="0"/>
        <c:ser>
          <c:idx val="0"/>
          <c:order val="0"/>
          <c:tx>
            <c:v>HV Port Min</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Calculations!$P$6:$P$56</c:f>
              <c:numCache>
                <c:formatCode>General</c:formatCode>
                <c:ptCount val="51"/>
                <c:pt idx="0">
                  <c:v>0</c:v>
                </c:pt>
                <c:pt idx="1">
                  <c:v>0.15405305784945772</c:v>
                </c:pt>
                <c:pt idx="2">
                  <c:v>0.21786392373575009</c:v>
                </c:pt>
                <c:pt idx="3">
                  <c:v>0.2668277232566082</c:v>
                </c:pt>
                <c:pt idx="4">
                  <c:v>0.30810611569891544</c:v>
                </c:pt>
                <c:pt idx="5">
                  <c:v>0.34447310949309495</c:v>
                </c:pt>
                <c:pt idx="6">
                  <c:v>0.37735138504663024</c:v>
                </c:pt>
                <c:pt idx="7">
                  <c:v>0.40758607977871197</c:v>
                </c:pt>
                <c:pt idx="8">
                  <c:v>0.43572784747150017</c:v>
                </c:pt>
                <c:pt idx="9">
                  <c:v>0.44687500000000002</c:v>
                </c:pt>
                <c:pt idx="10">
                  <c:v>0.44687500000000002</c:v>
                </c:pt>
                <c:pt idx="11">
                  <c:v>0.44687500000000002</c:v>
                </c:pt>
                <c:pt idx="12">
                  <c:v>0.44687500000000002</c:v>
                </c:pt>
                <c:pt idx="13">
                  <c:v>0.44687500000000002</c:v>
                </c:pt>
                <c:pt idx="14">
                  <c:v>0.44687500000000002</c:v>
                </c:pt>
                <c:pt idx="15">
                  <c:v>0.44687500000000002</c:v>
                </c:pt>
                <c:pt idx="16">
                  <c:v>0.44687500000000002</c:v>
                </c:pt>
                <c:pt idx="17">
                  <c:v>0.44687500000000002</c:v>
                </c:pt>
                <c:pt idx="18">
                  <c:v>0.44687500000000002</c:v>
                </c:pt>
                <c:pt idx="19">
                  <c:v>0.44687500000000002</c:v>
                </c:pt>
                <c:pt idx="20">
                  <c:v>0.44687500000000002</c:v>
                </c:pt>
                <c:pt idx="21">
                  <c:v>0.44687500000000002</c:v>
                </c:pt>
                <c:pt idx="22">
                  <c:v>0.44687500000000002</c:v>
                </c:pt>
                <c:pt idx="23">
                  <c:v>0.44687500000000002</c:v>
                </c:pt>
                <c:pt idx="24">
                  <c:v>0.44687500000000002</c:v>
                </c:pt>
                <c:pt idx="25">
                  <c:v>0.44687500000000002</c:v>
                </c:pt>
                <c:pt idx="26">
                  <c:v>0.44687500000000002</c:v>
                </c:pt>
                <c:pt idx="27">
                  <c:v>0.44687500000000002</c:v>
                </c:pt>
                <c:pt idx="28">
                  <c:v>0.44687500000000002</c:v>
                </c:pt>
                <c:pt idx="29">
                  <c:v>0.44687500000000002</c:v>
                </c:pt>
                <c:pt idx="30">
                  <c:v>0.44687500000000002</c:v>
                </c:pt>
                <c:pt idx="31">
                  <c:v>0.44687500000000002</c:v>
                </c:pt>
                <c:pt idx="32">
                  <c:v>0.44687500000000002</c:v>
                </c:pt>
                <c:pt idx="33">
                  <c:v>0.44687500000000002</c:v>
                </c:pt>
                <c:pt idx="34">
                  <c:v>0.44687500000000002</c:v>
                </c:pt>
                <c:pt idx="35">
                  <c:v>0.44687500000000002</c:v>
                </c:pt>
                <c:pt idx="36">
                  <c:v>0.44687500000000002</c:v>
                </c:pt>
                <c:pt idx="37">
                  <c:v>0.44687500000000002</c:v>
                </c:pt>
                <c:pt idx="38">
                  <c:v>0.44687500000000002</c:v>
                </c:pt>
                <c:pt idx="39">
                  <c:v>0.44687500000000002</c:v>
                </c:pt>
                <c:pt idx="40">
                  <c:v>0.44687500000000002</c:v>
                </c:pt>
                <c:pt idx="41">
                  <c:v>0.44687500000000002</c:v>
                </c:pt>
                <c:pt idx="42">
                  <c:v>0.44687500000000002</c:v>
                </c:pt>
                <c:pt idx="43">
                  <c:v>0.44687500000000002</c:v>
                </c:pt>
                <c:pt idx="44">
                  <c:v>0.44687500000000002</c:v>
                </c:pt>
                <c:pt idx="45">
                  <c:v>0.44687500000000002</c:v>
                </c:pt>
                <c:pt idx="46">
                  <c:v>0.44687500000000002</c:v>
                </c:pt>
                <c:pt idx="47">
                  <c:v>0.44687500000000002</c:v>
                </c:pt>
                <c:pt idx="48">
                  <c:v>0.44687500000000002</c:v>
                </c:pt>
                <c:pt idx="49">
                  <c:v>0.44687500000000002</c:v>
                </c:pt>
                <c:pt idx="50">
                  <c:v>0.44687500000000002</c:v>
                </c:pt>
              </c:numCache>
            </c:numRef>
          </c:yVal>
          <c:smooth val="1"/>
          <c:extLst>
            <c:ext xmlns:c16="http://schemas.microsoft.com/office/drawing/2014/chart" uri="{C3380CC4-5D6E-409C-BE32-E72D297353CC}">
              <c16:uniqueId val="{00000000-34BE-4A9D-99D7-075941836F19}"/>
            </c:ext>
          </c:extLst>
        </c:ser>
        <c:ser>
          <c:idx val="1"/>
          <c:order val="1"/>
          <c:tx>
            <c:v>HV Port Nom</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Calculations!$T$6:$T$56</c:f>
              <c:numCache>
                <c:formatCode>General</c:formatCode>
                <c:ptCount val="51"/>
                <c:pt idx="0">
                  <c:v>0</c:v>
                </c:pt>
                <c:pt idx="1">
                  <c:v>9.1158333359329491E-2</c:v>
                </c:pt>
                <c:pt idx="2">
                  <c:v>0.1289173513600915</c:v>
                </c:pt>
                <c:pt idx="3">
                  <c:v>0.15789086491165957</c:v>
                </c:pt>
                <c:pt idx="4">
                  <c:v>0.18231666671865898</c:v>
                </c:pt>
                <c:pt idx="5">
                  <c:v>0.20383623010704749</c:v>
                </c:pt>
                <c:pt idx="6">
                  <c:v>0.22329140253288721</c:v>
                </c:pt>
                <c:pt idx="7">
                  <c:v>0.24118227999990899</c:v>
                </c:pt>
                <c:pt idx="8">
                  <c:v>0.257834702720183</c:v>
                </c:pt>
                <c:pt idx="9">
                  <c:v>0.27347500007798842</c:v>
                </c:pt>
                <c:pt idx="10">
                  <c:v>0.28826796112038955</c:v>
                </c:pt>
                <c:pt idx="11">
                  <c:v>0.29791666666666666</c:v>
                </c:pt>
                <c:pt idx="12">
                  <c:v>0.29791666666666666</c:v>
                </c:pt>
                <c:pt idx="13">
                  <c:v>0.29791666666666666</c:v>
                </c:pt>
                <c:pt idx="14">
                  <c:v>0.29791666666666666</c:v>
                </c:pt>
                <c:pt idx="15">
                  <c:v>0.29791666666666666</c:v>
                </c:pt>
                <c:pt idx="16">
                  <c:v>0.29791666666666666</c:v>
                </c:pt>
                <c:pt idx="17">
                  <c:v>0.29791666666666666</c:v>
                </c:pt>
                <c:pt idx="18">
                  <c:v>0.29791666666666666</c:v>
                </c:pt>
                <c:pt idx="19">
                  <c:v>0.29791666666666666</c:v>
                </c:pt>
                <c:pt idx="20">
                  <c:v>0.29791666666666666</c:v>
                </c:pt>
                <c:pt idx="21">
                  <c:v>0.29791666666666666</c:v>
                </c:pt>
                <c:pt idx="22">
                  <c:v>0.29791666666666666</c:v>
                </c:pt>
                <c:pt idx="23">
                  <c:v>0.29791666666666666</c:v>
                </c:pt>
                <c:pt idx="24">
                  <c:v>0.29791666666666666</c:v>
                </c:pt>
                <c:pt idx="25">
                  <c:v>0.29791666666666666</c:v>
                </c:pt>
                <c:pt idx="26">
                  <c:v>0.29791666666666666</c:v>
                </c:pt>
                <c:pt idx="27">
                  <c:v>0.29791666666666666</c:v>
                </c:pt>
                <c:pt idx="28">
                  <c:v>0.29791666666666666</c:v>
                </c:pt>
                <c:pt idx="29">
                  <c:v>0.29791666666666666</c:v>
                </c:pt>
                <c:pt idx="30">
                  <c:v>0.29791666666666666</c:v>
                </c:pt>
                <c:pt idx="31">
                  <c:v>0.29791666666666666</c:v>
                </c:pt>
                <c:pt idx="32">
                  <c:v>0.29791666666666666</c:v>
                </c:pt>
                <c:pt idx="33">
                  <c:v>0.29791666666666666</c:v>
                </c:pt>
                <c:pt idx="34">
                  <c:v>0.29791666666666666</c:v>
                </c:pt>
                <c:pt idx="35">
                  <c:v>0.29791666666666666</c:v>
                </c:pt>
                <c:pt idx="36">
                  <c:v>0.29791666666666666</c:v>
                </c:pt>
                <c:pt idx="37">
                  <c:v>0.29791666666666666</c:v>
                </c:pt>
                <c:pt idx="38">
                  <c:v>0.29791666666666666</c:v>
                </c:pt>
                <c:pt idx="39">
                  <c:v>0.29791666666666666</c:v>
                </c:pt>
                <c:pt idx="40">
                  <c:v>0.29791666666666666</c:v>
                </c:pt>
                <c:pt idx="41">
                  <c:v>0.29791666666666666</c:v>
                </c:pt>
                <c:pt idx="42">
                  <c:v>0.29791666666666666</c:v>
                </c:pt>
                <c:pt idx="43">
                  <c:v>0.29791666666666666</c:v>
                </c:pt>
                <c:pt idx="44">
                  <c:v>0.29791666666666666</c:v>
                </c:pt>
                <c:pt idx="45">
                  <c:v>0.29791666666666666</c:v>
                </c:pt>
                <c:pt idx="46">
                  <c:v>0.29791666666666666</c:v>
                </c:pt>
                <c:pt idx="47">
                  <c:v>0.29791666666666666</c:v>
                </c:pt>
                <c:pt idx="48">
                  <c:v>0.29791666666666666</c:v>
                </c:pt>
                <c:pt idx="49">
                  <c:v>0.29791666666666666</c:v>
                </c:pt>
                <c:pt idx="50">
                  <c:v>0.29791666666666666</c:v>
                </c:pt>
              </c:numCache>
            </c:numRef>
          </c:yVal>
          <c:smooth val="1"/>
          <c:extLst>
            <c:ext xmlns:c16="http://schemas.microsoft.com/office/drawing/2014/chart" uri="{C3380CC4-5D6E-409C-BE32-E72D297353CC}">
              <c16:uniqueId val="{00000001-34BE-4A9D-99D7-075941836F19}"/>
            </c:ext>
          </c:extLst>
        </c:ser>
        <c:ser>
          <c:idx val="2"/>
          <c:order val="2"/>
          <c:tx>
            <c:v>HV Port Max</c:v>
          </c:tx>
          <c:marker>
            <c:symbol val="none"/>
          </c:marker>
          <c:xVal>
            <c:numRef>
              <c:f>Calculations!$O$6:$O$56</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42.999999999999993</c:v>
                </c:pt>
                <c:pt idx="44">
                  <c:v>44</c:v>
                </c:pt>
                <c:pt idx="45">
                  <c:v>45</c:v>
                </c:pt>
                <c:pt idx="46">
                  <c:v>46</c:v>
                </c:pt>
                <c:pt idx="47">
                  <c:v>47</c:v>
                </c:pt>
                <c:pt idx="48">
                  <c:v>48</c:v>
                </c:pt>
                <c:pt idx="49">
                  <c:v>49</c:v>
                </c:pt>
                <c:pt idx="50">
                  <c:v>50</c:v>
                </c:pt>
              </c:numCache>
            </c:numRef>
          </c:xVal>
          <c:yVal>
            <c:numRef>
              <c:f>Calculations!$X$6:$X$56</c:f>
              <c:numCache>
                <c:formatCode>General</c:formatCode>
                <c:ptCount val="51"/>
                <c:pt idx="0">
                  <c:v>0</c:v>
                </c:pt>
                <c:pt idx="1">
                  <c:v>5.6882384118055178E-2</c:v>
                </c:pt>
                <c:pt idx="2">
                  <c:v>8.0443839079869572E-2</c:v>
                </c:pt>
                <c:pt idx="3">
                  <c:v>9.8523179348120563E-2</c:v>
                </c:pt>
                <c:pt idx="4">
                  <c:v>0.11376476823611036</c:v>
                </c:pt>
                <c:pt idx="5">
                  <c:v>0.1271928776102258</c:v>
                </c:pt>
                <c:pt idx="6">
                  <c:v>0.13933281644222892</c:v>
                </c:pt>
                <c:pt idx="7">
                  <c:v>0.15049664235682414</c:v>
                </c:pt>
                <c:pt idx="8">
                  <c:v>0.16088767815973914</c:v>
                </c:pt>
                <c:pt idx="9">
                  <c:v>0.17064715235416553</c:v>
                </c:pt>
                <c:pt idx="10">
                  <c:v>0.1798778925536425</c:v>
                </c:pt>
                <c:pt idx="11">
                  <c:v>0.18865752530046009</c:v>
                </c:pt>
                <c:pt idx="12">
                  <c:v>0.19704635869624113</c:v>
                </c:pt>
                <c:pt idx="13">
                  <c:v>0.19861111111111113</c:v>
                </c:pt>
                <c:pt idx="14">
                  <c:v>0.19861111111111113</c:v>
                </c:pt>
                <c:pt idx="15">
                  <c:v>0.19861111111111113</c:v>
                </c:pt>
                <c:pt idx="16">
                  <c:v>0.19861111111111113</c:v>
                </c:pt>
                <c:pt idx="17">
                  <c:v>0.19861111111111113</c:v>
                </c:pt>
                <c:pt idx="18">
                  <c:v>0.19861111111111113</c:v>
                </c:pt>
                <c:pt idx="19">
                  <c:v>0.19861111111111113</c:v>
                </c:pt>
                <c:pt idx="20">
                  <c:v>0.19861111111111113</c:v>
                </c:pt>
                <c:pt idx="21">
                  <c:v>0.19861111111111113</c:v>
                </c:pt>
                <c:pt idx="22">
                  <c:v>0.19861111111111113</c:v>
                </c:pt>
                <c:pt idx="23">
                  <c:v>0.19861111111111113</c:v>
                </c:pt>
                <c:pt idx="24">
                  <c:v>0.19861111111111113</c:v>
                </c:pt>
                <c:pt idx="25">
                  <c:v>0.19861111111111113</c:v>
                </c:pt>
                <c:pt idx="26">
                  <c:v>0.19861111111111113</c:v>
                </c:pt>
                <c:pt idx="27">
                  <c:v>0.19861111111111113</c:v>
                </c:pt>
                <c:pt idx="28">
                  <c:v>0.19861111111111113</c:v>
                </c:pt>
                <c:pt idx="29">
                  <c:v>0.19861111111111113</c:v>
                </c:pt>
                <c:pt idx="30">
                  <c:v>0.19861111111111113</c:v>
                </c:pt>
                <c:pt idx="31">
                  <c:v>0.19861111111111113</c:v>
                </c:pt>
                <c:pt idx="32">
                  <c:v>0.19861111111111113</c:v>
                </c:pt>
                <c:pt idx="33">
                  <c:v>0.19861111111111113</c:v>
                </c:pt>
                <c:pt idx="34">
                  <c:v>0.19861111111111113</c:v>
                </c:pt>
                <c:pt idx="35">
                  <c:v>0.19861111111111113</c:v>
                </c:pt>
                <c:pt idx="36">
                  <c:v>0.19861111111111113</c:v>
                </c:pt>
                <c:pt idx="37">
                  <c:v>0.19861111111111113</c:v>
                </c:pt>
                <c:pt idx="38">
                  <c:v>0.19861111111111113</c:v>
                </c:pt>
                <c:pt idx="39">
                  <c:v>0.19861111111111113</c:v>
                </c:pt>
                <c:pt idx="40">
                  <c:v>0.19861111111111113</c:v>
                </c:pt>
                <c:pt idx="41">
                  <c:v>0.19861111111111113</c:v>
                </c:pt>
                <c:pt idx="42">
                  <c:v>0.19861111111111113</c:v>
                </c:pt>
                <c:pt idx="43">
                  <c:v>0.19861111111111113</c:v>
                </c:pt>
                <c:pt idx="44">
                  <c:v>0.19861111111111113</c:v>
                </c:pt>
                <c:pt idx="45">
                  <c:v>0.19861111111111113</c:v>
                </c:pt>
                <c:pt idx="46">
                  <c:v>0.19861111111111113</c:v>
                </c:pt>
                <c:pt idx="47">
                  <c:v>0.19861111111111113</c:v>
                </c:pt>
                <c:pt idx="48">
                  <c:v>0.19861111111111113</c:v>
                </c:pt>
                <c:pt idx="49">
                  <c:v>0.19861111111111113</c:v>
                </c:pt>
                <c:pt idx="50">
                  <c:v>0.19861111111111113</c:v>
                </c:pt>
              </c:numCache>
            </c:numRef>
          </c:yVal>
          <c:smooth val="1"/>
          <c:extLst>
            <c:ext xmlns:c16="http://schemas.microsoft.com/office/drawing/2014/chart" uri="{C3380CC4-5D6E-409C-BE32-E72D297353CC}">
              <c16:uniqueId val="{00000002-34BE-4A9D-99D7-075941836F19}"/>
            </c:ext>
          </c:extLst>
        </c:ser>
        <c:ser>
          <c:idx val="3"/>
          <c:order val="3"/>
          <c:marker>
            <c:symbol val="circle"/>
            <c:size val="10"/>
            <c:spPr>
              <a:noFill/>
              <a:ln w="22225">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Calculations!$B$47</c:f>
              <c:numCache>
                <c:formatCode>0.000</c:formatCode>
                <c:ptCount val="1"/>
                <c:pt idx="0">
                  <c:v>8.4145611702127656</c:v>
                </c:pt>
              </c:numCache>
            </c:numRef>
          </c:xVal>
          <c:yVal>
            <c:numRef>
              <c:f>Calculations!$B$48</c:f>
              <c:numCache>
                <c:formatCode>General</c:formatCode>
                <c:ptCount val="1"/>
                <c:pt idx="0">
                  <c:v>0.44687500000000002</c:v>
                </c:pt>
              </c:numCache>
            </c:numRef>
          </c:yVal>
          <c:smooth val="1"/>
          <c:extLst>
            <c:ext xmlns:c16="http://schemas.microsoft.com/office/drawing/2014/chart" uri="{C3380CC4-5D6E-409C-BE32-E72D297353CC}">
              <c16:uniqueId val="{00000003-34BE-4A9D-99D7-075941836F19}"/>
            </c:ext>
          </c:extLst>
        </c:ser>
        <c:ser>
          <c:idx val="4"/>
          <c:order val="4"/>
          <c:marker>
            <c:symbol val="circle"/>
            <c:size val="10"/>
            <c:spPr>
              <a:noFill/>
              <a:ln w="22225">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Calculations!$B$50</c:f>
              <c:numCache>
                <c:formatCode>0.000</c:formatCode>
                <c:ptCount val="1"/>
                <c:pt idx="0">
                  <c:v>10.680629432624114</c:v>
                </c:pt>
              </c:numCache>
            </c:numRef>
          </c:xVal>
          <c:yVal>
            <c:numRef>
              <c:f>Calculations!$B$51</c:f>
              <c:numCache>
                <c:formatCode>0.0000</c:formatCode>
                <c:ptCount val="1"/>
                <c:pt idx="0">
                  <c:v>0.29791666666666666</c:v>
                </c:pt>
              </c:numCache>
            </c:numRef>
          </c:yVal>
          <c:smooth val="1"/>
          <c:extLst>
            <c:ext xmlns:c16="http://schemas.microsoft.com/office/drawing/2014/chart" uri="{C3380CC4-5D6E-409C-BE32-E72D297353CC}">
              <c16:uniqueId val="{00000004-34BE-4A9D-99D7-075941836F19}"/>
            </c:ext>
          </c:extLst>
        </c:ser>
        <c:ser>
          <c:idx val="5"/>
          <c:order val="5"/>
          <c:marker>
            <c:symbol val="circle"/>
            <c:size val="10"/>
            <c:spPr>
              <a:noFill/>
              <a:ln w="22225">
                <a:solidFill>
                  <a:srgbClr val="FF0000"/>
                </a:solidFill>
              </a:ln>
            </c:spPr>
          </c:marker>
          <c:dLbls>
            <c:numFmt formatCode="#,##0.00\A" sourceLinked="0"/>
            <c:spPr>
              <a:noFill/>
              <a:ln>
                <a:noFill/>
              </a:ln>
              <a:effectLst/>
            </c:spPr>
            <c:txPr>
              <a:bodyPr/>
              <a:lstStyle/>
              <a:p>
                <a:pPr>
                  <a:defRPr b="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Calculations!$B$53</c:f>
              <c:numCache>
                <c:formatCode>0.000</c:formatCode>
                <c:ptCount val="1"/>
                <c:pt idx="0">
                  <c:v>12.191341607565013</c:v>
                </c:pt>
              </c:numCache>
            </c:numRef>
          </c:xVal>
          <c:yVal>
            <c:numRef>
              <c:f>Calculations!$B$54</c:f>
              <c:numCache>
                <c:formatCode>0.000</c:formatCode>
                <c:ptCount val="1"/>
                <c:pt idx="0">
                  <c:v>0.19861111111111113</c:v>
                </c:pt>
              </c:numCache>
            </c:numRef>
          </c:yVal>
          <c:smooth val="1"/>
          <c:extLst>
            <c:ext xmlns:c16="http://schemas.microsoft.com/office/drawing/2014/chart" uri="{C3380CC4-5D6E-409C-BE32-E72D297353CC}">
              <c16:uniqueId val="{00000005-34BE-4A9D-99D7-075941836F19}"/>
            </c:ext>
          </c:extLst>
        </c:ser>
        <c:dLbls>
          <c:showLegendKey val="0"/>
          <c:showVal val="0"/>
          <c:showCatName val="0"/>
          <c:showSerName val="0"/>
          <c:showPercent val="0"/>
          <c:showBubbleSize val="0"/>
        </c:dLbls>
        <c:axId val="207993472"/>
        <c:axId val="208188928"/>
      </c:scatterChart>
      <c:valAx>
        <c:axId val="207993472"/>
        <c:scaling>
          <c:orientation val="minMax"/>
        </c:scaling>
        <c:delete val="0"/>
        <c:axPos val="b"/>
        <c:majorGridlines/>
        <c:title>
          <c:tx>
            <c:rich>
              <a:bodyPr/>
              <a:lstStyle/>
              <a:p>
                <a:pPr>
                  <a:defRPr/>
                </a:pPr>
                <a:r>
                  <a:rPr lang="en-US"/>
                  <a:t>Per</a:t>
                </a:r>
                <a:r>
                  <a:rPr lang="en-US" baseline="0"/>
                  <a:t> Phase Average Inductor Current (A)</a:t>
                </a:r>
                <a:endParaRPr lang="en-US"/>
              </a:p>
            </c:rich>
          </c:tx>
          <c:overlay val="0"/>
        </c:title>
        <c:numFmt formatCode="General" sourceLinked="1"/>
        <c:majorTickMark val="out"/>
        <c:minorTickMark val="none"/>
        <c:tickLblPos val="nextTo"/>
        <c:crossAx val="208188928"/>
        <c:crosses val="autoZero"/>
        <c:crossBetween val="midCat"/>
      </c:valAx>
      <c:valAx>
        <c:axId val="208188928"/>
        <c:scaling>
          <c:orientation val="minMax"/>
          <c:max val="1"/>
          <c:min val="0"/>
        </c:scaling>
        <c:delete val="0"/>
        <c:axPos val="l"/>
        <c:majorGridlines/>
        <c:title>
          <c:tx>
            <c:rich>
              <a:bodyPr rot="-5400000" vert="horz"/>
              <a:lstStyle/>
              <a:p>
                <a:pPr>
                  <a:defRPr/>
                </a:pPr>
                <a:r>
                  <a:rPr lang="en-US"/>
                  <a:t>HO</a:t>
                </a:r>
                <a:r>
                  <a:rPr lang="en-US" baseline="0"/>
                  <a:t> Duty Cycle</a:t>
                </a:r>
                <a:endParaRPr lang="en-US"/>
              </a:p>
            </c:rich>
          </c:tx>
          <c:overlay val="0"/>
        </c:title>
        <c:numFmt formatCode="General" sourceLinked="1"/>
        <c:majorTickMark val="out"/>
        <c:minorTickMark val="none"/>
        <c:tickLblPos val="nextTo"/>
        <c:crossAx val="207993472"/>
        <c:crosses val="autoZero"/>
        <c:crossBetween val="midCat"/>
      </c:valAx>
    </c:plotArea>
    <c:legend>
      <c:legendPos val="b"/>
      <c:legendEntry>
        <c:idx val="3"/>
        <c:delete val="1"/>
      </c:legendEntry>
      <c:legendEntry>
        <c:idx val="4"/>
        <c:delete val="1"/>
      </c:legendEntry>
      <c:legendEntry>
        <c:idx val="5"/>
        <c:delete val="1"/>
      </c:legendEntry>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Current Loop Power Plant</a:t>
            </a:r>
          </a:p>
        </c:rich>
      </c:tx>
      <c:overlay val="0"/>
    </c:title>
    <c:autoTitleDeleted val="0"/>
    <c:plotArea>
      <c:layout/>
      <c:scatterChart>
        <c:scatterStyle val="lineMarker"/>
        <c:varyColors val="0"/>
        <c:ser>
          <c:idx val="0"/>
          <c:order val="0"/>
          <c:tx>
            <c:v>Power Plant Gain</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Compensation!$E$8:$E$62</c:f>
              <c:numCache>
                <c:formatCode>General</c:formatCode>
                <c:ptCount val="55"/>
                <c:pt idx="0">
                  <c:v>69.275114562621681</c:v>
                </c:pt>
                <c:pt idx="1">
                  <c:v>69.275093650791717</c:v>
                </c:pt>
                <c:pt idx="2">
                  <c:v>69.275058767980994</c:v>
                </c:pt>
                <c:pt idx="3">
                  <c:v>69.275000580569156</c:v>
                </c:pt>
                <c:pt idx="4">
                  <c:v>69.274903519851136</c:v>
                </c:pt>
                <c:pt idx="5">
                  <c:v>69.274741617642263</c:v>
                </c:pt>
                <c:pt idx="6">
                  <c:v>69.274471561911199</c:v>
                </c:pt>
                <c:pt idx="7">
                  <c:v>69.27402111916723</c:v>
                </c:pt>
                <c:pt idx="8">
                  <c:v>69.273269839334006</c:v>
                </c:pt>
                <c:pt idx="9">
                  <c:v>69.272016918178451</c:v>
                </c:pt>
                <c:pt idx="10">
                  <c:v>69.269927723763743</c:v>
                </c:pt>
                <c:pt idx="11">
                  <c:v>69.266444972378764</c:v>
                </c:pt>
                <c:pt idx="12">
                  <c:v>69.260641600926888</c:v>
                </c:pt>
                <c:pt idx="13">
                  <c:v>69.250978217850204</c:v>
                </c:pt>
                <c:pt idx="14">
                  <c:v>69.234906418525597</c:v>
                </c:pt>
                <c:pt idx="15">
                  <c:v>69.20822869225961</c:v>
                </c:pt>
                <c:pt idx="16">
                  <c:v>69.164089032765929</c:v>
                </c:pt>
                <c:pt idx="17">
                  <c:v>69.091443527517612</c:v>
                </c:pt>
                <c:pt idx="18">
                  <c:v>68.972903970569135</c:v>
                </c:pt>
                <c:pt idx="19">
                  <c:v>68.782095920490761</c:v>
                </c:pt>
                <c:pt idx="20">
                  <c:v>68.481356939374379</c:v>
                </c:pt>
                <c:pt idx="21">
                  <c:v>68.021858244963497</c:v>
                </c:pt>
                <c:pt idx="22">
                  <c:v>67.349382606163346</c:v>
                </c:pt>
                <c:pt idx="23">
                  <c:v>66.417653313689655</c:v>
                </c:pt>
                <c:pt idx="24">
                  <c:v>65.205051593257636</c:v>
                </c:pt>
                <c:pt idx="25">
                  <c:v>63.724014710160915</c:v>
                </c:pt>
                <c:pt idx="26">
                  <c:v>62.015508914317067</c:v>
                </c:pt>
                <c:pt idx="27">
                  <c:v>60.133164886268091</c:v>
                </c:pt>
                <c:pt idx="28">
                  <c:v>58.128225109347341</c:v>
                </c:pt>
                <c:pt idx="29">
                  <c:v>56.041670935780289</c:v>
                </c:pt>
                <c:pt idx="30">
                  <c:v>53.902859124906442</c:v>
                </c:pt>
                <c:pt idx="31">
                  <c:v>51.731419145082754</c:v>
                </c:pt>
                <c:pt idx="32">
                  <c:v>49.53992722621134</c:v>
                </c:pt>
                <c:pt idx="33">
                  <c:v>47.33623213076811</c:v>
                </c:pt>
                <c:pt idx="34">
                  <c:v>45.125154641184778</c:v>
                </c:pt>
                <c:pt idx="35">
                  <c:v>42.909627247925272</c:v>
                </c:pt>
                <c:pt idx="36">
                  <c:v>40.691423423739323</c:v>
                </c:pt>
                <c:pt idx="37">
                  <c:v>38.471611951642409</c:v>
                </c:pt>
                <c:pt idx="38">
                  <c:v>36.250835577988568</c:v>
                </c:pt>
                <c:pt idx="39">
                  <c:v>34.029480350042888</c:v>
                </c:pt>
                <c:pt idx="40">
                  <c:v>31.807777960227156</c:v>
                </c:pt>
                <c:pt idx="41">
                  <c:v>29.585867399179293</c:v>
                </c:pt>
                <c:pt idx="42">
                  <c:v>27.363832023645898</c:v>
                </c:pt>
                <c:pt idx="43">
                  <c:v>25.141721816924949</c:v>
                </c:pt>
                <c:pt idx="44">
                  <c:v>22.919566747616742</c:v>
                </c:pt>
                <c:pt idx="45">
                  <c:v>20.697384783006658</c:v>
                </c:pt>
                <c:pt idx="46">
                  <c:v>18.4751866947678</c:v>
                </c:pt>
                <c:pt idx="47">
                  <c:v>16.252978940552769</c:v>
                </c:pt>
                <c:pt idx="48">
                  <c:v>14.030765391696082</c:v>
                </c:pt>
                <c:pt idx="49">
                  <c:v>11.808548369028289</c:v>
                </c:pt>
                <c:pt idx="50">
                  <c:v>9.5863292638599962</c:v>
                </c:pt>
                <c:pt idx="51">
                  <c:v>7.3641089102635853</c:v>
                </c:pt>
                <c:pt idx="52">
                  <c:v>5.1418878082534416</c:v>
                </c:pt>
                <c:pt idx="53">
                  <c:v>2.9196662575809231</c:v>
                </c:pt>
                <c:pt idx="54">
                  <c:v>0.6974444379421838</c:v>
                </c:pt>
              </c:numCache>
            </c:numRef>
          </c:yVal>
          <c:smooth val="0"/>
          <c:extLst>
            <c:ext xmlns:c16="http://schemas.microsoft.com/office/drawing/2014/chart" uri="{C3380CC4-5D6E-409C-BE32-E72D297353CC}">
              <c16:uniqueId val="{00000000-B60F-4613-B8B9-F473AF184045}"/>
            </c:ext>
          </c:extLst>
        </c:ser>
        <c:dLbls>
          <c:showLegendKey val="0"/>
          <c:showVal val="0"/>
          <c:showCatName val="0"/>
          <c:showSerName val="0"/>
          <c:showPercent val="0"/>
          <c:showBubbleSize val="0"/>
        </c:dLbls>
        <c:axId val="220836608"/>
        <c:axId val="220838528"/>
      </c:scatterChart>
      <c:scatterChart>
        <c:scatterStyle val="lineMarker"/>
        <c:varyColors val="0"/>
        <c:ser>
          <c:idx val="1"/>
          <c:order val="1"/>
          <c:tx>
            <c:v>Power Plant Phase</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Compensation!$F$8:$F$62</c:f>
              <c:numCache>
                <c:formatCode>General</c:formatCode>
                <c:ptCount val="55"/>
                <c:pt idx="0">
                  <c:v>-0.15381781228399427</c:v>
                </c:pt>
                <c:pt idx="1">
                  <c:v>-0.19866302506549888</c:v>
                </c:pt>
                <c:pt idx="2">
                  <c:v>-0.25658247650951044</c:v>
                </c:pt>
                <c:pt idx="3">
                  <c:v>-0.33138753158304157</c:v>
                </c:pt>
                <c:pt idx="4">
                  <c:v>-0.42800026690799048</c:v>
                </c:pt>
                <c:pt idx="5">
                  <c:v>-0.55277673218593815</c:v>
                </c:pt>
                <c:pt idx="6">
                  <c:v>-0.71392380499778607</c:v>
                </c:pt>
                <c:pt idx="7">
                  <c:v>-0.92203617242594571</c:v>
                </c:pt>
                <c:pt idx="8">
                  <c:v>-1.1907868403128699</c:v>
                </c:pt>
                <c:pt idx="9">
                  <c:v>-1.5378124421147787</c:v>
                </c:pt>
                <c:pt idx="10">
                  <c:v>-1.9858426450899707</c:v>
                </c:pt>
                <c:pt idx="11">
                  <c:v>-2.5641287449957391</c:v>
                </c:pt>
                <c:pt idx="12">
                  <c:v>-3.3102243104145281</c:v>
                </c:pt>
                <c:pt idx="13">
                  <c:v>-4.2721474238573798</c:v>
                </c:pt>
                <c:pt idx="14">
                  <c:v>-5.510881669293644</c:v>
                </c:pt>
                <c:pt idx="15">
                  <c:v>-7.1029944794128861</c:v>
                </c:pt>
                <c:pt idx="16">
                  <c:v>-9.142758506778085</c:v>
                </c:pt>
                <c:pt idx="17">
                  <c:v>-11.74237364158507</c:v>
                </c:pt>
                <c:pt idx="18">
                  <c:v>-15.027483328611304</c:v>
                </c:pt>
                <c:pt idx="19">
                  <c:v>-19.123158947850332</c:v>
                </c:pt>
                <c:pt idx="20">
                  <c:v>-24.123975597745435</c:v>
                </c:pt>
                <c:pt idx="21">
                  <c:v>-30.044521729285428</c:v>
                </c:pt>
                <c:pt idx="22">
                  <c:v>-36.760293181659911</c:v>
                </c:pt>
                <c:pt idx="23">
                  <c:v>-43.973855844256626</c:v>
                </c:pt>
                <c:pt idx="24">
                  <c:v>-51.252747700370826</c:v>
                </c:pt>
                <c:pt idx="25">
                  <c:v>-58.145196926450382</c:v>
                </c:pt>
                <c:pt idx="26">
                  <c:v>-64.308271347357362</c:v>
                </c:pt>
                <c:pt idx="27">
                  <c:v>-69.570126106722157</c:v>
                </c:pt>
                <c:pt idx="28">
                  <c:v>-73.912136947128232</c:v>
                </c:pt>
                <c:pt idx="29">
                  <c:v>-77.412246980298988</c:v>
                </c:pt>
                <c:pt idx="30">
                  <c:v>-80.190837841223527</c:v>
                </c:pt>
                <c:pt idx="31">
                  <c:v>-82.375368314431455</c:v>
                </c:pt>
                <c:pt idx="32">
                  <c:v>-84.082557537117836</c:v>
                </c:pt>
                <c:pt idx="33">
                  <c:v>-85.411811968305102</c:v>
                </c:pt>
                <c:pt idx="34">
                  <c:v>-86.444490510602037</c:v>
                </c:pt>
                <c:pt idx="35">
                  <c:v>-87.245682613098438</c:v>
                </c:pt>
                <c:pt idx="36">
                  <c:v>-87.866774079143539</c:v>
                </c:pt>
                <c:pt idx="37">
                  <c:v>-88.348014955668276</c:v>
                </c:pt>
                <c:pt idx="38">
                  <c:v>-88.720786012946689</c:v>
                </c:pt>
                <c:pt idx="39">
                  <c:v>-89.009485153048956</c:v>
                </c:pt>
                <c:pt idx="40">
                  <c:v>-89.233049726233418</c:v>
                </c:pt>
                <c:pt idx="41">
                  <c:v>-89.406164051420731</c:v>
                </c:pt>
                <c:pt idx="42">
                  <c:v>-89.540207797630202</c:v>
                </c:pt>
                <c:pt idx="43">
                  <c:v>-89.643996535374811</c:v>
                </c:pt>
                <c:pt idx="44">
                  <c:v>-89.724358025722452</c:v>
                </c:pt>
                <c:pt idx="45">
                  <c:v>-89.786579770449606</c:v>
                </c:pt>
                <c:pt idx="46">
                  <c:v>-89.834756161019783</c:v>
                </c:pt>
                <c:pt idx="47">
                  <c:v>-89.872057554615722</c:v>
                </c:pt>
                <c:pt idx="48">
                  <c:v>-89.900938745119916</c:v>
                </c:pt>
                <c:pt idx="49">
                  <c:v>-89.923300437376227</c:v>
                </c:pt>
                <c:pt idx="50">
                  <c:v>-89.940614299975294</c:v>
                </c:pt>
                <c:pt idx="51">
                  <c:v>-89.954019802605686</c:v>
                </c:pt>
                <c:pt idx="52">
                  <c:v>-89.964399199974139</c:v>
                </c:pt>
                <c:pt idx="53">
                  <c:v>-89.972435592044818</c:v>
                </c:pt>
                <c:pt idx="54">
                  <c:v>-89.978657879326235</c:v>
                </c:pt>
              </c:numCache>
            </c:numRef>
          </c:yVal>
          <c:smooth val="0"/>
          <c:extLst>
            <c:ext xmlns:c16="http://schemas.microsoft.com/office/drawing/2014/chart" uri="{C3380CC4-5D6E-409C-BE32-E72D297353CC}">
              <c16:uniqueId val="{00000001-B60F-4613-B8B9-F473AF184045}"/>
            </c:ext>
          </c:extLst>
        </c:ser>
        <c:dLbls>
          <c:showLegendKey val="0"/>
          <c:showVal val="0"/>
          <c:showCatName val="0"/>
          <c:showSerName val="0"/>
          <c:showPercent val="0"/>
          <c:showBubbleSize val="0"/>
        </c:dLbls>
        <c:axId val="220887680"/>
        <c:axId val="220886144"/>
      </c:scatterChart>
      <c:valAx>
        <c:axId val="220836608"/>
        <c:scaling>
          <c:logBase val="10"/>
          <c:orientation val="minMax"/>
          <c:min val="10"/>
        </c:scaling>
        <c:delete val="0"/>
        <c:axPos val="b"/>
        <c:majorGridlines/>
        <c:minorGridlines/>
        <c:numFmt formatCode="General" sourceLinked="1"/>
        <c:majorTickMark val="out"/>
        <c:minorTickMark val="cross"/>
        <c:tickLblPos val="low"/>
        <c:crossAx val="220838528"/>
        <c:crosses val="autoZero"/>
        <c:crossBetween val="midCat"/>
      </c:valAx>
      <c:valAx>
        <c:axId val="220838528"/>
        <c:scaling>
          <c:orientation val="minMax"/>
          <c:max val="60"/>
          <c:min val="-40"/>
        </c:scaling>
        <c:delete val="0"/>
        <c:axPos val="l"/>
        <c:majorGridlines/>
        <c:numFmt formatCode="General" sourceLinked="1"/>
        <c:majorTickMark val="out"/>
        <c:minorTickMark val="none"/>
        <c:tickLblPos val="nextTo"/>
        <c:crossAx val="220836608"/>
        <c:crosses val="autoZero"/>
        <c:crossBetween val="midCat"/>
        <c:majorUnit val="20"/>
      </c:valAx>
      <c:valAx>
        <c:axId val="220886144"/>
        <c:scaling>
          <c:orientation val="minMax"/>
          <c:max val="180"/>
          <c:min val="-180"/>
        </c:scaling>
        <c:delete val="0"/>
        <c:axPos val="r"/>
        <c:numFmt formatCode="General" sourceLinked="1"/>
        <c:majorTickMark val="out"/>
        <c:minorTickMark val="none"/>
        <c:tickLblPos val="nextTo"/>
        <c:crossAx val="220887680"/>
        <c:crosses val="max"/>
        <c:crossBetween val="midCat"/>
        <c:majorUnit val="45"/>
      </c:valAx>
      <c:valAx>
        <c:axId val="220887680"/>
        <c:scaling>
          <c:logBase val="10"/>
          <c:orientation val="minMax"/>
        </c:scaling>
        <c:delete val="1"/>
        <c:axPos val="b"/>
        <c:numFmt formatCode="General" sourceLinked="1"/>
        <c:majorTickMark val="out"/>
        <c:minorTickMark val="none"/>
        <c:tickLblPos val="nextTo"/>
        <c:crossAx val="220886144"/>
        <c:crosses val="autoZero"/>
        <c:crossBetween val="midCat"/>
      </c:valAx>
    </c:plotArea>
    <c:legend>
      <c:legendPos val="l"/>
      <c:layout>
        <c:manualLayout>
          <c:xMode val="edge"/>
          <c:yMode val="edge"/>
          <c:x val="0.69820093925399296"/>
          <c:y val="0.16336876104743336"/>
          <c:w val="0.22001818778535392"/>
          <c:h val="0.13077712429615321"/>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Current Loop Compensation</a:t>
            </a:r>
          </a:p>
        </c:rich>
      </c:tx>
      <c:overlay val="0"/>
    </c:title>
    <c:autoTitleDeleted val="0"/>
    <c:plotArea>
      <c:layout/>
      <c:scatterChart>
        <c:scatterStyle val="lineMarker"/>
        <c:varyColors val="0"/>
        <c:ser>
          <c:idx val="0"/>
          <c:order val="0"/>
          <c:tx>
            <c:v>Compensation Gain</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Compensation!$H$8:$H$62</c:f>
              <c:numCache>
                <c:formatCode>General</c:formatCode>
                <c:ptCount val="55"/>
                <c:pt idx="0">
                  <c:v>15.991197201764569</c:v>
                </c:pt>
                <c:pt idx="1">
                  <c:v>13.768989823350399</c:v>
                </c:pt>
                <c:pt idx="2">
                  <c:v>11.546792361979449</c:v>
                </c:pt>
                <c:pt idx="3">
                  <c:v>9.324611443032385</c:v>
                </c:pt>
                <c:pt idx="4">
                  <c:v>7.1024581179512385</c:v>
                </c:pt>
                <c:pt idx="5">
                  <c:v>4.8803508206544102</c:v>
                </c:pt>
                <c:pt idx="6">
                  <c:v>2.6583202979932747</c:v>
                </c:pt>
                <c:pt idx="7">
                  <c:v>0.43641783107927157</c:v>
                </c:pt>
                <c:pt idx="8">
                  <c:v>-1.7852710595358894</c:v>
                </c:pt>
                <c:pt idx="9">
                  <c:v>-4.0066037767692677</c:v>
                </c:pt>
                <c:pt idx="10">
                  <c:v>-6.2273426206228795</c:v>
                </c:pt>
                <c:pt idx="11">
                  <c:v>-8.4470915457496947</c:v>
                </c:pt>
                <c:pt idx="12">
                  <c:v>-10.665191192254721</c:v>
                </c:pt>
                <c:pt idx="13">
                  <c:v>-12.880545242066008</c:v>
                </c:pt>
                <c:pt idx="14">
                  <c:v>-15.091334782707817</c:v>
                </c:pt>
                <c:pt idx="15">
                  <c:v>-17.294552876015782</c:v>
                </c:pt>
                <c:pt idx="16">
                  <c:v>-19.485258231728469</c:v>
                </c:pt>
                <c:pt idx="17">
                  <c:v>-21.655410948698538</c:v>
                </c:pt>
                <c:pt idx="18">
                  <c:v>-23.792141889302243</c:v>
                </c:pt>
                <c:pt idx="19">
                  <c:v>-25.875398493907149</c:v>
                </c:pt>
                <c:pt idx="20">
                  <c:v>-27.875273769386265</c:v>
                </c:pt>
                <c:pt idx="21">
                  <c:v>-29.750202524251211</c:v>
                </c:pt>
                <c:pt idx="22">
                  <c:v>-31.44857886727824</c:v>
                </c:pt>
                <c:pt idx="23">
                  <c:v>-32.917020950413146</c:v>
                </c:pt>
                <c:pt idx="24">
                  <c:v>-34.115689810843087</c:v>
                </c:pt>
                <c:pt idx="25">
                  <c:v>-35.033907342173102</c:v>
                </c:pt>
                <c:pt idx="26">
                  <c:v>-35.69494996023635</c:v>
                </c:pt>
                <c:pt idx="27">
                  <c:v>-36.146041842265021</c:v>
                </c:pt>
                <c:pt idx="28">
                  <c:v>-36.441620550283901</c:v>
                </c:pt>
                <c:pt idx="29">
                  <c:v>-36.630418568119204</c:v>
                </c:pt>
                <c:pt idx="30">
                  <c:v>-36.75014748369329</c:v>
                </c:pt>
                <c:pt idx="31">
                  <c:v>-36.827740855904793</c:v>
                </c:pt>
                <c:pt idx="32">
                  <c:v>-36.881990663138652</c:v>
                </c:pt>
                <c:pt idx="33">
                  <c:v>-36.926633260801317</c:v>
                </c:pt>
                <c:pt idx="34">
                  <c:v>-36.973207326650353</c:v>
                </c:pt>
                <c:pt idx="35">
                  <c:v>-37.033698928091979</c:v>
                </c:pt>
                <c:pt idx="36">
                  <c:v>-37.123235389540532</c:v>
                </c:pt>
                <c:pt idx="37">
                  <c:v>-37.263042799095018</c:v>
                </c:pt>
                <c:pt idx="38">
                  <c:v>-37.483506845684005</c:v>
                </c:pt>
                <c:pt idx="39">
                  <c:v>-37.826286260478071</c:v>
                </c:pt>
                <c:pt idx="40">
                  <c:v>-38.3430363463318</c:v>
                </c:pt>
                <c:pt idx="41">
                  <c:v>-39.087534623559591</c:v>
                </c:pt>
                <c:pt idx="42">
                  <c:v>-40.100619539483958</c:v>
                </c:pt>
                <c:pt idx="43">
                  <c:v>-41.394412279905424</c:v>
                </c:pt>
                <c:pt idx="44">
                  <c:v>-42.946976875539249</c:v>
                </c:pt>
                <c:pt idx="45">
                  <c:v>-44.711874729320257</c:v>
                </c:pt>
                <c:pt idx="46">
                  <c:v>-46.634903673494819</c:v>
                </c:pt>
                <c:pt idx="47">
                  <c:v>-48.667352776643156</c:v>
                </c:pt>
                <c:pt idx="48">
                  <c:v>-50.771700644196933</c:v>
                </c:pt>
                <c:pt idx="49">
                  <c:v>-52.921693706978047</c:v>
                </c:pt>
                <c:pt idx="50">
                  <c:v>-55.100032526426546</c:v>
                </c:pt>
                <c:pt idx="51">
                  <c:v>-57.295733119357017</c:v>
                </c:pt>
                <c:pt idx="52">
                  <c:v>-59.501978027362924</c:v>
                </c:pt>
                <c:pt idx="53">
                  <c:v>-61.714593838904619</c:v>
                </c:pt>
                <c:pt idx="54">
                  <c:v>-63.931046963209177</c:v>
                </c:pt>
              </c:numCache>
            </c:numRef>
          </c:yVal>
          <c:smooth val="0"/>
          <c:extLst>
            <c:ext xmlns:c16="http://schemas.microsoft.com/office/drawing/2014/chart" uri="{C3380CC4-5D6E-409C-BE32-E72D297353CC}">
              <c16:uniqueId val="{00000000-C47B-4110-AC0D-2089B50AFCB5}"/>
            </c:ext>
          </c:extLst>
        </c:ser>
        <c:dLbls>
          <c:showLegendKey val="0"/>
          <c:showVal val="0"/>
          <c:showCatName val="0"/>
          <c:showSerName val="0"/>
          <c:showPercent val="0"/>
          <c:showBubbleSize val="0"/>
        </c:dLbls>
        <c:axId val="220981120"/>
        <c:axId val="221385088"/>
      </c:scatterChart>
      <c:scatterChart>
        <c:scatterStyle val="lineMarker"/>
        <c:varyColors val="0"/>
        <c:ser>
          <c:idx val="1"/>
          <c:order val="1"/>
          <c:tx>
            <c:v>Compensation Phase</c:v>
          </c:tx>
          <c:marker>
            <c:symbol val="none"/>
          </c:marker>
          <c:xVal>
            <c:numRef>
              <c:f>Compensation!$B$8:$B$62</c:f>
              <c:numCache>
                <c:formatCode>General</c:formatCode>
                <c:ptCount val="55"/>
                <c:pt idx="0">
                  <c:v>1</c:v>
                </c:pt>
                <c:pt idx="1">
                  <c:v>1.2915496650148839</c:v>
                </c:pt>
                <c:pt idx="2">
                  <c:v>1.6681005372000588</c:v>
                </c:pt>
                <c:pt idx="3">
                  <c:v>2.1544346900318838</c:v>
                </c:pt>
                <c:pt idx="4">
                  <c:v>2.7825594022071245</c:v>
                </c:pt>
                <c:pt idx="5">
                  <c:v>3.5938136638046281</c:v>
                </c:pt>
                <c:pt idx="6">
                  <c:v>4.6415888336127793</c:v>
                </c:pt>
                <c:pt idx="7">
                  <c:v>5.9948425031894104</c:v>
                </c:pt>
                <c:pt idx="8">
                  <c:v>7.7426368268112711</c:v>
                </c:pt>
                <c:pt idx="9">
                  <c:v>10</c:v>
                </c:pt>
                <c:pt idx="10">
                  <c:v>12.915496650148844</c:v>
                </c:pt>
                <c:pt idx="11">
                  <c:v>16.681005372000598</c:v>
                </c:pt>
                <c:pt idx="12">
                  <c:v>21.544346900318843</c:v>
                </c:pt>
                <c:pt idx="13">
                  <c:v>27.825594022071257</c:v>
                </c:pt>
                <c:pt idx="14">
                  <c:v>35.938136638046281</c:v>
                </c:pt>
                <c:pt idx="15">
                  <c:v>46.415888336127786</c:v>
                </c:pt>
                <c:pt idx="16">
                  <c:v>59.948425031894104</c:v>
                </c:pt>
                <c:pt idx="17">
                  <c:v>77.426368268112768</c:v>
                </c:pt>
                <c:pt idx="18">
                  <c:v>100</c:v>
                </c:pt>
                <c:pt idx="19">
                  <c:v>129.15496650148842</c:v>
                </c:pt>
                <c:pt idx="20">
                  <c:v>166.81005372000601</c:v>
                </c:pt>
                <c:pt idx="21">
                  <c:v>215.44346900318828</c:v>
                </c:pt>
                <c:pt idx="22">
                  <c:v>278.25594022071277</c:v>
                </c:pt>
                <c:pt idx="23">
                  <c:v>359.38136638046274</c:v>
                </c:pt>
                <c:pt idx="24">
                  <c:v>464.15888336127819</c:v>
                </c:pt>
                <c:pt idx="25">
                  <c:v>599.48425031894124</c:v>
                </c:pt>
                <c:pt idx="26">
                  <c:v>774.26368268112776</c:v>
                </c:pt>
                <c:pt idx="27">
                  <c:v>1000</c:v>
                </c:pt>
                <c:pt idx="28">
                  <c:v>1291.5496650148843</c:v>
                </c:pt>
                <c:pt idx="29">
                  <c:v>1668.1005372000604</c:v>
                </c:pt>
                <c:pt idx="30">
                  <c:v>2154.4346900318833</c:v>
                </c:pt>
                <c:pt idx="31">
                  <c:v>2782.5594022071282</c:v>
                </c:pt>
                <c:pt idx="32">
                  <c:v>3593.813663804628</c:v>
                </c:pt>
                <c:pt idx="33">
                  <c:v>4641.5888336127782</c:v>
                </c:pt>
                <c:pt idx="34">
                  <c:v>5994.8425031894185</c:v>
                </c:pt>
                <c:pt idx="35">
                  <c:v>7742.6368268112792</c:v>
                </c:pt>
                <c:pt idx="36">
                  <c:v>10000</c:v>
                </c:pt>
                <c:pt idx="37">
                  <c:v>12915.496650148847</c:v>
                </c:pt>
                <c:pt idx="38">
                  <c:v>16681.005372000593</c:v>
                </c:pt>
                <c:pt idx="39">
                  <c:v>21544.346900318837</c:v>
                </c:pt>
                <c:pt idx="40">
                  <c:v>27825.594022071291</c:v>
                </c:pt>
                <c:pt idx="41">
                  <c:v>35938.136638046322</c:v>
                </c:pt>
                <c:pt idx="42">
                  <c:v>46415.888336127755</c:v>
                </c:pt>
                <c:pt idx="43">
                  <c:v>59948.425031894149</c:v>
                </c:pt>
                <c:pt idx="44">
                  <c:v>77426.368268112885</c:v>
                </c:pt>
                <c:pt idx="45">
                  <c:v>100000</c:v>
                </c:pt>
                <c:pt idx="46">
                  <c:v>129154.96650148838</c:v>
                </c:pt>
                <c:pt idx="47">
                  <c:v>166810.05372000611</c:v>
                </c:pt>
                <c:pt idx="48">
                  <c:v>215443.46900318863</c:v>
                </c:pt>
                <c:pt idx="49">
                  <c:v>278255.94022071268</c:v>
                </c:pt>
                <c:pt idx="50">
                  <c:v>359381.36638046295</c:v>
                </c:pt>
                <c:pt idx="51">
                  <c:v>464158.88336127804</c:v>
                </c:pt>
                <c:pt idx="52">
                  <c:v>599484.25031894213</c:v>
                </c:pt>
                <c:pt idx="53">
                  <c:v>774263.68268112827</c:v>
                </c:pt>
                <c:pt idx="54">
                  <c:v>1000000</c:v>
                </c:pt>
              </c:numCache>
            </c:numRef>
          </c:xVal>
          <c:yVal>
            <c:numRef>
              <c:f>Compensation!$I$8:$I$62</c:f>
              <c:numCache>
                <c:formatCode>General</c:formatCode>
                <c:ptCount val="55"/>
                <c:pt idx="0">
                  <c:v>90.12831661065546</c:v>
                </c:pt>
                <c:pt idx="1">
                  <c:v>90.165727084787363</c:v>
                </c:pt>
                <c:pt idx="2">
                  <c:v>90.214044349948352</c:v>
                </c:pt>
                <c:pt idx="3">
                  <c:v>90.276448023240761</c:v>
                </c:pt>
                <c:pt idx="4">
                  <c:v>90.357044444662264</c:v>
                </c:pt>
                <c:pt idx="5">
                  <c:v>90.46113652417668</c:v>
                </c:pt>
                <c:pt idx="6">
                  <c:v>90.595571871727714</c:v>
                </c:pt>
                <c:pt idx="7">
                  <c:v>90.769191582578273</c:v>
                </c:pt>
                <c:pt idx="8">
                  <c:v>90.993408053074532</c:v>
                </c:pt>
                <c:pt idx="9">
                  <c:v>91.282947356267499</c:v>
                </c:pt>
                <c:pt idx="10">
                  <c:v>91.656799662227058</c:v>
                </c:pt>
                <c:pt idx="11">
                  <c:v>92.139428711166062</c:v>
                </c:pt>
                <c:pt idx="12">
                  <c:v>92.762295195106702</c:v>
                </c:pt>
                <c:pt idx="13">
                  <c:v>93.565741438783917</c:v>
                </c:pt>
                <c:pt idx="14">
                  <c:v>94.601249086205698</c:v>
                </c:pt>
                <c:pt idx="15">
                  <c:v>95.933981933998226</c:v>
                </c:pt>
                <c:pt idx="16">
                  <c:v>97.645291393903875</c:v>
                </c:pt>
                <c:pt idx="17">
                  <c:v>99.834361602105403</c:v>
                </c:pt>
                <c:pt idx="18">
                  <c:v>102.61720150578032</c:v>
                </c:pt>
                <c:pt idx="19">
                  <c:v>106.119555412729</c:v>
                </c:pt>
                <c:pt idx="20">
                  <c:v>110.45822181367326</c:v>
                </c:pt>
                <c:pt idx="21">
                  <c:v>115.70452823700943</c:v>
                </c:pt>
                <c:pt idx="22">
                  <c:v>121.82927111221206</c:v>
                </c:pt>
                <c:pt idx="23">
                  <c:v>128.64657600252326</c:v>
                </c:pt>
                <c:pt idx="24">
                  <c:v>135.79895572262492</c:v>
                </c:pt>
                <c:pt idx="25">
                  <c:v>142.82342969352177</c:v>
                </c:pt>
                <c:pt idx="26">
                  <c:v>149.28064046370301</c:v>
                </c:pt>
                <c:pt idx="27">
                  <c:v>154.86696520167098</c:v>
                </c:pt>
                <c:pt idx="28">
                  <c:v>159.44712633070733</c:v>
                </c:pt>
                <c:pt idx="29">
                  <c:v>163.01669587195082</c:v>
                </c:pt>
                <c:pt idx="30">
                  <c:v>165.64133684033197</c:v>
                </c:pt>
                <c:pt idx="31">
                  <c:v>167.40634168369024</c:v>
                </c:pt>
                <c:pt idx="32">
                  <c:v>168.38538041396362</c:v>
                </c:pt>
                <c:pt idx="33">
                  <c:v>168.62454166502076</c:v>
                </c:pt>
                <c:pt idx="34">
                  <c:v>168.13562016343303</c:v>
                </c:pt>
                <c:pt idx="35">
                  <c:v>166.89472513793638</c:v>
                </c:pt>
                <c:pt idx="36">
                  <c:v>164.84523047064945</c:v>
                </c:pt>
                <c:pt idx="37">
                  <c:v>161.90706422871762</c:v>
                </c:pt>
                <c:pt idx="38">
                  <c:v>157.99717873295666</c:v>
                </c:pt>
                <c:pt idx="39">
                  <c:v>153.06728192240371</c:v>
                </c:pt>
                <c:pt idx="40">
                  <c:v>147.15989545715149</c:v>
                </c:pt>
                <c:pt idx="41">
                  <c:v>140.46625213282456</c:v>
                </c:pt>
                <c:pt idx="42">
                  <c:v>133.34454614110956</c:v>
                </c:pt>
                <c:pt idx="43">
                  <c:v>126.25757628301824</c:v>
                </c:pt>
                <c:pt idx="44">
                  <c:v>119.64490845904351</c:v>
                </c:pt>
                <c:pt idx="45">
                  <c:v>113.80832205811768</c:v>
                </c:pt>
                <c:pt idx="46">
                  <c:v>108.87530682586267</c:v>
                </c:pt>
                <c:pt idx="47">
                  <c:v>104.8337861481926</c:v>
                </c:pt>
                <c:pt idx="48">
                  <c:v>101.59150680989536</c:v>
                </c:pt>
                <c:pt idx="49">
                  <c:v>99.025514152366725</c:v>
                </c:pt>
                <c:pt idx="50">
                  <c:v>97.01200968363186</c:v>
                </c:pt>
                <c:pt idx="51">
                  <c:v>95.440337908389282</c:v>
                </c:pt>
                <c:pt idx="52">
                  <c:v>94.217482232190974</c:v>
                </c:pt>
                <c:pt idx="53">
                  <c:v>93.267877690916791</c:v>
                </c:pt>
                <c:pt idx="54">
                  <c:v>92.531331351845239</c:v>
                </c:pt>
              </c:numCache>
            </c:numRef>
          </c:yVal>
          <c:smooth val="0"/>
          <c:extLst>
            <c:ext xmlns:c16="http://schemas.microsoft.com/office/drawing/2014/chart" uri="{C3380CC4-5D6E-409C-BE32-E72D297353CC}">
              <c16:uniqueId val="{00000001-C47B-4110-AC0D-2089B50AFCB5}"/>
            </c:ext>
          </c:extLst>
        </c:ser>
        <c:dLbls>
          <c:showLegendKey val="0"/>
          <c:showVal val="0"/>
          <c:showCatName val="0"/>
          <c:showSerName val="0"/>
          <c:showPercent val="0"/>
          <c:showBubbleSize val="0"/>
        </c:dLbls>
        <c:axId val="222761344"/>
        <c:axId val="221386624"/>
      </c:scatterChart>
      <c:valAx>
        <c:axId val="220981120"/>
        <c:scaling>
          <c:logBase val="10"/>
          <c:orientation val="minMax"/>
          <c:min val="10"/>
        </c:scaling>
        <c:delete val="0"/>
        <c:axPos val="b"/>
        <c:majorGridlines/>
        <c:minorGridlines/>
        <c:numFmt formatCode="General" sourceLinked="1"/>
        <c:majorTickMark val="out"/>
        <c:minorTickMark val="cross"/>
        <c:tickLblPos val="low"/>
        <c:crossAx val="221385088"/>
        <c:crosses val="autoZero"/>
        <c:crossBetween val="midCat"/>
      </c:valAx>
      <c:valAx>
        <c:axId val="221385088"/>
        <c:scaling>
          <c:orientation val="minMax"/>
          <c:max val="60"/>
          <c:min val="-40"/>
        </c:scaling>
        <c:delete val="0"/>
        <c:axPos val="l"/>
        <c:majorGridlines/>
        <c:numFmt formatCode="General" sourceLinked="1"/>
        <c:majorTickMark val="out"/>
        <c:minorTickMark val="none"/>
        <c:tickLblPos val="nextTo"/>
        <c:crossAx val="220981120"/>
        <c:crosses val="autoZero"/>
        <c:crossBetween val="midCat"/>
        <c:majorUnit val="20"/>
      </c:valAx>
      <c:valAx>
        <c:axId val="221386624"/>
        <c:scaling>
          <c:orientation val="minMax"/>
          <c:max val="180"/>
          <c:min val="-180"/>
        </c:scaling>
        <c:delete val="0"/>
        <c:axPos val="r"/>
        <c:numFmt formatCode="General" sourceLinked="1"/>
        <c:majorTickMark val="out"/>
        <c:minorTickMark val="none"/>
        <c:tickLblPos val="nextTo"/>
        <c:crossAx val="222761344"/>
        <c:crosses val="max"/>
        <c:crossBetween val="midCat"/>
        <c:majorUnit val="45"/>
      </c:valAx>
      <c:valAx>
        <c:axId val="222761344"/>
        <c:scaling>
          <c:logBase val="10"/>
          <c:orientation val="minMax"/>
        </c:scaling>
        <c:delete val="1"/>
        <c:axPos val="b"/>
        <c:numFmt formatCode="General" sourceLinked="1"/>
        <c:majorTickMark val="out"/>
        <c:minorTickMark val="none"/>
        <c:tickLblPos val="nextTo"/>
        <c:crossAx val="221386624"/>
        <c:crosses val="autoZero"/>
        <c:crossBetween val="midCat"/>
      </c:valAx>
    </c:plotArea>
    <c:legend>
      <c:legendPos val="l"/>
      <c:layout>
        <c:manualLayout>
          <c:xMode val="edge"/>
          <c:yMode val="edge"/>
          <c:x val="0.65602831874863543"/>
          <c:y val="0.38756332343240335"/>
          <c:w val="0.25624167236024714"/>
          <c:h val="0.1741696202416313"/>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7.svg"/><Relationship Id="rId18" Type="http://schemas.openxmlformats.org/officeDocument/2006/relationships/image" Target="../media/image12.png"/><Relationship Id="rId3" Type="http://schemas.openxmlformats.org/officeDocument/2006/relationships/image" Target="../media/image1.jpg"/><Relationship Id="rId21" Type="http://schemas.openxmlformats.org/officeDocument/2006/relationships/image" Target="../media/image15.svg"/><Relationship Id="rId7" Type="http://schemas.openxmlformats.org/officeDocument/2006/relationships/image" Target="../media/image3.svg"/><Relationship Id="rId12" Type="http://schemas.openxmlformats.org/officeDocument/2006/relationships/image" Target="../media/image6.png"/><Relationship Id="rId17" Type="http://schemas.openxmlformats.org/officeDocument/2006/relationships/image" Target="../media/image11.svg"/><Relationship Id="rId2" Type="http://schemas.openxmlformats.org/officeDocument/2006/relationships/hyperlink" Target="http://www.ti.com/product/lm5171-q1" TargetMode="External"/><Relationship Id="rId16" Type="http://schemas.openxmlformats.org/officeDocument/2006/relationships/image" Target="../media/image10.png"/><Relationship Id="rId20" Type="http://schemas.openxmlformats.org/officeDocument/2006/relationships/image" Target="../media/image14.png"/><Relationship Id="rId1" Type="http://schemas.openxmlformats.org/officeDocument/2006/relationships/chart" Target="../charts/chart1.xml"/><Relationship Id="rId6" Type="http://schemas.openxmlformats.org/officeDocument/2006/relationships/image" Target="../media/image2.png"/><Relationship Id="rId11" Type="http://schemas.openxmlformats.org/officeDocument/2006/relationships/chart" Target="../charts/chart5.xml"/><Relationship Id="rId5" Type="http://schemas.openxmlformats.org/officeDocument/2006/relationships/chart" Target="../charts/chart3.xml"/><Relationship Id="rId15" Type="http://schemas.openxmlformats.org/officeDocument/2006/relationships/image" Target="../media/image9.svg"/><Relationship Id="rId10" Type="http://schemas.openxmlformats.org/officeDocument/2006/relationships/chart" Target="../charts/chart4.xml"/><Relationship Id="rId19" Type="http://schemas.openxmlformats.org/officeDocument/2006/relationships/image" Target="../media/image13.svg"/><Relationship Id="rId4" Type="http://schemas.openxmlformats.org/officeDocument/2006/relationships/chart" Target="../charts/chart2.xml"/><Relationship Id="rId9" Type="http://schemas.openxmlformats.org/officeDocument/2006/relationships/image" Target="../media/image5.svg"/><Relationship Id="rId1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3" Type="http://schemas.openxmlformats.org/officeDocument/2006/relationships/hyperlink" Target="http://www.ti.com/corp/docs/legal/copyright.shtml" TargetMode="External"/><Relationship Id="rId2" Type="http://schemas.openxmlformats.org/officeDocument/2006/relationships/image" Target="../media/image16.gif"/><Relationship Id="rId1" Type="http://schemas.openxmlformats.org/officeDocument/2006/relationships/hyperlink" Target="http://www.ti.com" TargetMode="External"/></Relationships>
</file>

<file path=xl/drawings/drawing1.xml><?xml version="1.0" encoding="utf-8"?>
<xdr:wsDr xmlns:xdr="http://schemas.openxmlformats.org/drawingml/2006/spreadsheetDrawing" xmlns:a="http://schemas.openxmlformats.org/drawingml/2006/main">
  <xdr:twoCellAnchor>
    <xdr:from>
      <xdr:col>8</xdr:col>
      <xdr:colOff>136498</xdr:colOff>
      <xdr:row>145</xdr:row>
      <xdr:rowOff>66098</xdr:rowOff>
    </xdr:from>
    <xdr:to>
      <xdr:col>19</xdr:col>
      <xdr:colOff>2302</xdr:colOff>
      <xdr:row>164</xdr:row>
      <xdr:rowOff>174928</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2283071</xdr:colOff>
      <xdr:row>3</xdr:row>
      <xdr:rowOff>774</xdr:rowOff>
    </xdr:to>
    <xdr:pic>
      <xdr:nvPicPr>
        <xdr:cNvPr id="6" name="Picture 5">
          <a:hlinkClick xmlns:r="http://schemas.openxmlformats.org/officeDocument/2006/relationships" r:id="rId2"/>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4896" b="8304"/>
        <a:stretch/>
      </xdr:blipFill>
      <xdr:spPr>
        <a:xfrm>
          <a:off x="0" y="0"/>
          <a:ext cx="2283071" cy="538656"/>
        </a:xfrm>
        <a:prstGeom prst="rect">
          <a:avLst/>
        </a:prstGeom>
      </xdr:spPr>
    </xdr:pic>
    <xdr:clientData/>
  </xdr:twoCellAnchor>
  <xdr:twoCellAnchor>
    <xdr:from>
      <xdr:col>15</xdr:col>
      <xdr:colOff>51288</xdr:colOff>
      <xdr:row>71</xdr:row>
      <xdr:rowOff>38832</xdr:rowOff>
    </xdr:from>
    <xdr:to>
      <xdr:col>15</xdr:col>
      <xdr:colOff>205154</xdr:colOff>
      <xdr:row>71</xdr:row>
      <xdr:rowOff>178043</xdr:rowOff>
    </xdr:to>
    <xdr:sp macro="" textlink="">
      <xdr:nvSpPr>
        <xdr:cNvPr id="19" name="Oval 18">
          <a:extLst>
            <a:ext uri="{FF2B5EF4-FFF2-40B4-BE49-F238E27FC236}">
              <a16:creationId xmlns:a16="http://schemas.microsoft.com/office/drawing/2014/main" id="{00000000-0008-0000-0000-000013000000}"/>
            </a:ext>
          </a:extLst>
        </xdr:cNvPr>
        <xdr:cNvSpPr/>
      </xdr:nvSpPr>
      <xdr:spPr>
        <a:xfrm>
          <a:off x="11747988" y="14173932"/>
          <a:ext cx="153866" cy="13921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134593</xdr:colOff>
      <xdr:row>167</xdr:row>
      <xdr:rowOff>8964</xdr:rowOff>
    </xdr:from>
    <xdr:to>
      <xdr:col>19</xdr:col>
      <xdr:colOff>2301</xdr:colOff>
      <xdr:row>183</xdr:row>
      <xdr:rowOff>13247</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152400</xdr:colOff>
      <xdr:row>184</xdr:row>
      <xdr:rowOff>17393</xdr:rowOff>
    </xdr:from>
    <xdr:to>
      <xdr:col>19</xdr:col>
      <xdr:colOff>1059</xdr:colOff>
      <xdr:row>200</xdr:row>
      <xdr:rowOff>22774</xdr:rowOff>
    </xdr:to>
    <xdr:graphicFrame macro="">
      <xdr:nvGraphicFramePr>
        <xdr:cNvPr id="20" name="Chart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75511</xdr:colOff>
      <xdr:row>187</xdr:row>
      <xdr:rowOff>220485</xdr:rowOff>
    </xdr:from>
    <xdr:to>
      <xdr:col>8</xdr:col>
      <xdr:colOff>53285</xdr:colOff>
      <xdr:row>197</xdr:row>
      <xdr:rowOff>113456</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4407315" y="39322681"/>
          <a:ext cx="3100318" cy="2129275"/>
        </a:xfrm>
        <a:prstGeom prst="rect">
          <a:avLst/>
        </a:prstGeom>
      </xdr:spPr>
    </xdr:pic>
    <xdr:clientData/>
  </xdr:twoCellAnchor>
  <xdr:twoCellAnchor editAs="oneCell">
    <xdr:from>
      <xdr:col>3</xdr:col>
      <xdr:colOff>84385</xdr:colOff>
      <xdr:row>170</xdr:row>
      <xdr:rowOff>81332</xdr:rowOff>
    </xdr:from>
    <xdr:to>
      <xdr:col>8</xdr:col>
      <xdr:colOff>17219</xdr:colOff>
      <xdr:row>179</xdr:row>
      <xdr:rowOff>175351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416189" y="35580593"/>
          <a:ext cx="3055378" cy="2098410"/>
        </a:xfrm>
        <a:prstGeom prst="rect">
          <a:avLst/>
        </a:prstGeom>
      </xdr:spPr>
    </xdr:pic>
    <xdr:clientData/>
  </xdr:twoCellAnchor>
  <xdr:twoCellAnchor>
    <xdr:from>
      <xdr:col>11</xdr:col>
      <xdr:colOff>285254</xdr:colOff>
      <xdr:row>68</xdr:row>
      <xdr:rowOff>6626</xdr:rowOff>
    </xdr:from>
    <xdr:to>
      <xdr:col>18</xdr:col>
      <xdr:colOff>237629</xdr:colOff>
      <xdr:row>82</xdr:row>
      <xdr:rowOff>141684</xdr:rowOff>
    </xdr:to>
    <xdr:graphicFrame macro="">
      <xdr:nvGraphicFramePr>
        <xdr:cNvPr id="23" name="Chart 22">
          <a:extLst>
            <a:ext uri="{FF2B5EF4-FFF2-40B4-BE49-F238E27FC236}">
              <a16:creationId xmlns:a16="http://schemas.microsoft.com/office/drawing/2014/main" id="{11479CB3-2E04-45DE-97A4-7FE8E08A17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428129</xdr:colOff>
      <xdr:row>68</xdr:row>
      <xdr:rowOff>527</xdr:rowOff>
    </xdr:from>
    <xdr:to>
      <xdr:col>10</xdr:col>
      <xdr:colOff>409079</xdr:colOff>
      <xdr:row>82</xdr:row>
      <xdr:rowOff>149087</xdr:rowOff>
    </xdr:to>
    <xdr:graphicFrame macro="">
      <xdr:nvGraphicFramePr>
        <xdr:cNvPr id="24" name="Chart 23">
          <a:extLst>
            <a:ext uri="{FF2B5EF4-FFF2-40B4-BE49-F238E27FC236}">
              <a16:creationId xmlns:a16="http://schemas.microsoft.com/office/drawing/2014/main" id="{BF8813A4-09F6-4099-B576-FC255CA20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xdr:col>
      <xdr:colOff>371227</xdr:colOff>
      <xdr:row>88</xdr:row>
      <xdr:rowOff>75530</xdr:rowOff>
    </xdr:from>
    <xdr:to>
      <xdr:col>18</xdr:col>
      <xdr:colOff>539444</xdr:colOff>
      <xdr:row>96</xdr:row>
      <xdr:rowOff>157370</xdr:rowOff>
    </xdr:to>
    <xdr:pic>
      <xdr:nvPicPr>
        <xdr:cNvPr id="7" name="Picture 6">
          <a:extLst>
            <a:ext uri="{FF2B5EF4-FFF2-40B4-BE49-F238E27FC236}">
              <a16:creationId xmlns:a16="http://schemas.microsoft.com/office/drawing/2014/main" id="{DD70EA7D-FAA2-495F-801D-F2E13F16C9E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4703031" y="18173030"/>
          <a:ext cx="9651804" cy="1812905"/>
        </a:xfrm>
        <a:prstGeom prst="rect">
          <a:avLst/>
        </a:prstGeom>
      </xdr:spPr>
    </xdr:pic>
    <xdr:clientData/>
  </xdr:twoCellAnchor>
  <xdr:twoCellAnchor editAs="oneCell">
    <xdr:from>
      <xdr:col>4</xdr:col>
      <xdr:colOff>106349</xdr:colOff>
      <xdr:row>114</xdr:row>
      <xdr:rowOff>92634</xdr:rowOff>
    </xdr:from>
    <xdr:to>
      <xdr:col>10</xdr:col>
      <xdr:colOff>334040</xdr:colOff>
      <xdr:row>123</xdr:row>
      <xdr:rowOff>49696</xdr:rowOff>
    </xdr:to>
    <xdr:pic>
      <xdr:nvPicPr>
        <xdr:cNvPr id="14" name="Picture 13">
          <a:extLst>
            <a:ext uri="{FF2B5EF4-FFF2-40B4-BE49-F238E27FC236}">
              <a16:creationId xmlns:a16="http://schemas.microsoft.com/office/drawing/2014/main" id="{A090BBE4-0BE9-4943-A596-3C76E8888FF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5051066" y="23457873"/>
          <a:ext cx="3963148" cy="2011149"/>
        </a:xfrm>
        <a:prstGeom prst="rect">
          <a:avLst/>
        </a:prstGeom>
      </xdr:spPr>
    </xdr:pic>
    <xdr:clientData/>
  </xdr:twoCellAnchor>
  <xdr:twoCellAnchor editAs="oneCell">
    <xdr:from>
      <xdr:col>4</xdr:col>
      <xdr:colOff>73881</xdr:colOff>
      <xdr:row>128</xdr:row>
      <xdr:rowOff>57158</xdr:rowOff>
    </xdr:from>
    <xdr:to>
      <xdr:col>11</xdr:col>
      <xdr:colOff>166031</xdr:colOff>
      <xdr:row>136</xdr:row>
      <xdr:rowOff>99391</xdr:rowOff>
    </xdr:to>
    <xdr:pic>
      <xdr:nvPicPr>
        <xdr:cNvPr id="8" name="Picture 7">
          <a:extLst>
            <a:ext uri="{FF2B5EF4-FFF2-40B4-BE49-F238E27FC236}">
              <a16:creationId xmlns:a16="http://schemas.microsoft.com/office/drawing/2014/main" id="{E55E7BF0-5861-4CF1-A435-80AE1FD3F6DC}"/>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5018598" y="26445549"/>
          <a:ext cx="4440520" cy="1615929"/>
        </a:xfrm>
        <a:prstGeom prst="rect">
          <a:avLst/>
        </a:prstGeom>
      </xdr:spPr>
    </xdr:pic>
    <xdr:clientData/>
  </xdr:twoCellAnchor>
  <xdr:twoCellAnchor editAs="oneCell">
    <xdr:from>
      <xdr:col>3</xdr:col>
      <xdr:colOff>88894</xdr:colOff>
      <xdr:row>144</xdr:row>
      <xdr:rowOff>185643</xdr:rowOff>
    </xdr:from>
    <xdr:to>
      <xdr:col>8</xdr:col>
      <xdr:colOff>19766</xdr:colOff>
      <xdr:row>157</xdr:row>
      <xdr:rowOff>211924</xdr:rowOff>
    </xdr:to>
    <xdr:pic>
      <xdr:nvPicPr>
        <xdr:cNvPr id="16" name="Picture 15">
          <a:extLst>
            <a:ext uri="{FF2B5EF4-FFF2-40B4-BE49-F238E27FC236}">
              <a16:creationId xmlns:a16="http://schemas.microsoft.com/office/drawing/2014/main" id="{2B0ED0F8-9295-4AE8-9595-BCA72FC1DB6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4420698" y="29895360"/>
          <a:ext cx="3053416" cy="2883781"/>
        </a:xfrm>
        <a:prstGeom prst="rect">
          <a:avLst/>
        </a:prstGeom>
      </xdr:spPr>
    </xdr:pic>
    <xdr:clientData/>
  </xdr:twoCellAnchor>
  <xdr:twoCellAnchor editAs="oneCell">
    <xdr:from>
      <xdr:col>3</xdr:col>
      <xdr:colOff>86092</xdr:colOff>
      <xdr:row>11</xdr:row>
      <xdr:rowOff>149086</xdr:rowOff>
    </xdr:from>
    <xdr:to>
      <xdr:col>17</xdr:col>
      <xdr:colOff>416271</xdr:colOff>
      <xdr:row>68</xdr:row>
      <xdr:rowOff>51422</xdr:rowOff>
    </xdr:to>
    <xdr:pic>
      <xdr:nvPicPr>
        <xdr:cNvPr id="5" name="Picture 4">
          <a:extLst>
            <a:ext uri="{FF2B5EF4-FFF2-40B4-BE49-F238E27FC236}">
              <a16:creationId xmlns:a16="http://schemas.microsoft.com/office/drawing/2014/main" id="{16ED57DF-A281-4372-8DA3-D8A653C66EF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4417896" y="2228021"/>
          <a:ext cx="8968940" cy="11307488"/>
        </a:xfrm>
        <a:prstGeom prst="rect">
          <a:avLst/>
        </a:prstGeom>
      </xdr:spPr>
    </xdr:pic>
    <xdr:clientData/>
  </xdr:twoCellAnchor>
  <xdr:twoCellAnchor>
    <xdr:from>
      <xdr:col>9</xdr:col>
      <xdr:colOff>225137</xdr:colOff>
      <xdr:row>159</xdr:row>
      <xdr:rowOff>86591</xdr:rowOff>
    </xdr:from>
    <xdr:to>
      <xdr:col>12</xdr:col>
      <xdr:colOff>319199</xdr:colOff>
      <xdr:row>160</xdr:row>
      <xdr:rowOff>30381</xdr:rowOff>
    </xdr:to>
    <xdr:sp macro="" textlink="Compensation!AD46">
      <xdr:nvSpPr>
        <xdr:cNvPr id="17" name="TextBox 14">
          <a:extLst>
            <a:ext uri="{FF2B5EF4-FFF2-40B4-BE49-F238E27FC236}">
              <a16:creationId xmlns:a16="http://schemas.microsoft.com/office/drawing/2014/main" id="{195E6FCF-FDEB-44CB-97DA-167BD650BA8B}"/>
            </a:ext>
          </a:extLst>
        </xdr:cNvPr>
        <xdr:cNvSpPr txBox="1"/>
      </xdr:nvSpPr>
      <xdr:spPr>
        <a:xfrm>
          <a:off x="8243455" y="32731364"/>
          <a:ext cx="1912471" cy="1862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fld id="{EB2E94E3-E584-4E22-BB1D-4AC7B23193B9}" type="TxLink">
            <a:rPr lang="en-US" sz="1100" b="1" i="0" u="none" strike="noStrike">
              <a:solidFill>
                <a:schemeClr val="accent1"/>
              </a:solidFill>
              <a:latin typeface="Calibri"/>
              <a:cs typeface="Calibri"/>
            </a:rPr>
            <a:pPr/>
            <a:t>Crossover Frequency = 14.8 kHz</a:t>
          </a:fld>
          <a:endParaRPr lang="en-US" sz="2400" b="1">
            <a:solidFill>
              <a:schemeClr val="accent1"/>
            </a:solidFill>
            <a:latin typeface="+mn-lt"/>
            <a:cs typeface="Arial" panose="020B0604020202020204" pitchFamily="34" charset="0"/>
          </a:endParaRPr>
        </a:p>
      </xdr:txBody>
    </xdr:sp>
    <xdr:clientData/>
  </xdr:twoCellAnchor>
  <xdr:twoCellAnchor>
    <xdr:from>
      <xdr:col>9</xdr:col>
      <xdr:colOff>221675</xdr:colOff>
      <xdr:row>161</xdr:row>
      <xdr:rowOff>5196</xdr:rowOff>
    </xdr:from>
    <xdr:to>
      <xdr:col>11</xdr:col>
      <xdr:colOff>311728</xdr:colOff>
      <xdr:row>161</xdr:row>
      <xdr:rowOff>183931</xdr:rowOff>
    </xdr:to>
    <xdr:sp macro="" textlink="Compensation!AD47">
      <xdr:nvSpPr>
        <xdr:cNvPr id="18" name="TextBox 14">
          <a:extLst>
            <a:ext uri="{FF2B5EF4-FFF2-40B4-BE49-F238E27FC236}">
              <a16:creationId xmlns:a16="http://schemas.microsoft.com/office/drawing/2014/main" id="{1A81911A-0D8E-471F-96EF-9289299579C5}"/>
            </a:ext>
          </a:extLst>
        </xdr:cNvPr>
        <xdr:cNvSpPr txBox="1"/>
      </xdr:nvSpPr>
      <xdr:spPr>
        <a:xfrm>
          <a:off x="8275227" y="33066799"/>
          <a:ext cx="1311880" cy="1787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fld id="{7E07AFCF-77FB-47C4-BF82-E1779C96325E}" type="TxLink">
            <a:rPr lang="en-US" sz="1100" b="1" i="0" u="none" strike="noStrike">
              <a:solidFill>
                <a:srgbClr val="C00000"/>
              </a:solidFill>
              <a:latin typeface="Calibri"/>
              <a:cs typeface="Calibri"/>
            </a:rPr>
            <a:pPr/>
            <a:t>Phase Margin = 71°</a:t>
          </a:fld>
          <a:endParaRPr lang="en-US" sz="2400" b="1">
            <a:solidFill>
              <a:srgbClr val="C00000"/>
            </a:solidFill>
            <a:latin typeface="+mn-lt"/>
            <a:cs typeface="Arial" panose="020B0604020202020204" pitchFamily="34" charset="0"/>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0.10018</cdr:x>
      <cdr:y>0.71611</cdr:y>
    </cdr:from>
    <cdr:to>
      <cdr:x>0.38219</cdr:x>
      <cdr:y>0.76554</cdr:y>
    </cdr:to>
    <cdr:sp macro="" textlink="Compensation!$AK$128">
      <cdr:nvSpPr>
        <cdr:cNvPr id="2" name="TextBox 14">
          <a:extLst xmlns:a="http://schemas.openxmlformats.org/drawingml/2006/main">
            <a:ext uri="{FF2B5EF4-FFF2-40B4-BE49-F238E27FC236}">
              <a16:creationId xmlns:a16="http://schemas.microsoft.com/office/drawing/2014/main" id="{195E6FCF-FDEB-44CB-97DA-167BD650BA8B}"/>
            </a:ext>
          </a:extLst>
        </cdr:cNvPr>
        <cdr:cNvSpPr txBox="1"/>
      </cdr:nvSpPr>
      <cdr:spPr>
        <a:xfrm xmlns:a="http://schemas.openxmlformats.org/drawingml/2006/main">
          <a:off x="685398" y="2660263"/>
          <a:ext cx="1929418" cy="183627"/>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fld id="{571CB637-A595-49C5-A731-75963E740014}" type="TxLink">
            <a:rPr lang="en-US" sz="1100" b="1" i="0" u="none" strike="noStrike">
              <a:solidFill>
                <a:schemeClr val="accent1"/>
              </a:solidFill>
              <a:latin typeface="Calibri"/>
              <a:ea typeface="+mn-ea"/>
              <a:cs typeface="Calibri"/>
            </a:rPr>
            <a:pPr marL="0" indent="0"/>
            <a:t>Crossover Frequency = 7.2 kHz</a:t>
          </a:fld>
          <a:endParaRPr lang="en-US" sz="1100" b="1" i="0" u="none" strike="noStrike">
            <a:solidFill>
              <a:schemeClr val="accent1"/>
            </a:solidFill>
            <a:latin typeface="Calibri"/>
            <a:ea typeface="+mn-ea"/>
            <a:cs typeface="Calibri"/>
          </a:endParaRPr>
        </a:p>
      </cdr:txBody>
    </cdr:sp>
  </cdr:relSizeAnchor>
  <cdr:relSizeAnchor xmlns:cdr="http://schemas.openxmlformats.org/drawingml/2006/chartDrawing">
    <cdr:from>
      <cdr:x>0.10075</cdr:x>
      <cdr:y>0.77713</cdr:y>
    </cdr:from>
    <cdr:to>
      <cdr:x>0.2928</cdr:x>
      <cdr:y>0.82645</cdr:y>
    </cdr:to>
    <cdr:sp macro="" textlink="Compensation!$AK$129">
      <cdr:nvSpPr>
        <cdr:cNvPr id="3" name="TextBox 14">
          <a:extLst xmlns:a="http://schemas.openxmlformats.org/drawingml/2006/main">
            <a:ext uri="{FF2B5EF4-FFF2-40B4-BE49-F238E27FC236}">
              <a16:creationId xmlns:a16="http://schemas.microsoft.com/office/drawing/2014/main" id="{1A81911A-0D8E-471F-96EF-9289299579C5}"/>
            </a:ext>
          </a:extLst>
        </cdr:cNvPr>
        <cdr:cNvSpPr txBox="1"/>
      </cdr:nvSpPr>
      <cdr:spPr>
        <a:xfrm xmlns:a="http://schemas.openxmlformats.org/drawingml/2006/main">
          <a:off x="689298" y="2886946"/>
          <a:ext cx="1313941" cy="183218"/>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fld id="{CD44E736-3079-4010-BF0A-2FF4ED155B18}" type="TxLink">
            <a:rPr lang="en-US" sz="1100" b="1" i="0" u="none" strike="noStrike">
              <a:solidFill>
                <a:srgbClr val="C00000"/>
              </a:solidFill>
              <a:latin typeface="Calibri"/>
              <a:ea typeface="+mn-ea"/>
              <a:cs typeface="Calibri"/>
            </a:rPr>
            <a:pPr marL="0" indent="0"/>
            <a:t>Phase Margin = 84°</a:t>
          </a:fld>
          <a:endParaRPr lang="en-US" sz="1100" b="1" i="0" u="none" strike="noStrike">
            <a:solidFill>
              <a:srgbClr val="C00000"/>
            </a:solidFill>
            <a:latin typeface="Calibri"/>
            <a:ea typeface="+mn-ea"/>
            <a:cs typeface="Calibri"/>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0.10153</cdr:x>
      <cdr:y>0.71778</cdr:y>
    </cdr:from>
    <cdr:to>
      <cdr:x>0.38435</cdr:x>
      <cdr:y>0.76719</cdr:y>
    </cdr:to>
    <cdr:sp macro="" textlink="Compensation!$AK$217">
      <cdr:nvSpPr>
        <cdr:cNvPr id="2" name="TextBox 14">
          <a:extLst xmlns:a="http://schemas.openxmlformats.org/drawingml/2006/main">
            <a:ext uri="{FF2B5EF4-FFF2-40B4-BE49-F238E27FC236}">
              <a16:creationId xmlns:a16="http://schemas.microsoft.com/office/drawing/2014/main" id="{7DFFBA52-CB87-46DC-BBD0-BC269C9B2679}"/>
            </a:ext>
          </a:extLst>
        </cdr:cNvPr>
        <cdr:cNvSpPr txBox="1"/>
      </cdr:nvSpPr>
      <cdr:spPr>
        <a:xfrm xmlns:a="http://schemas.openxmlformats.org/drawingml/2006/main">
          <a:off x="692700" y="2667269"/>
          <a:ext cx="1929572" cy="183607"/>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fld id="{EFC15940-C90C-4432-BF4D-6790ADA7B94A}" type="TxLink">
            <a:rPr lang="en-US" sz="1100" b="1" i="0" u="none" strike="noStrike">
              <a:solidFill>
                <a:schemeClr val="accent1"/>
              </a:solidFill>
              <a:latin typeface="Calibri"/>
              <a:ea typeface="+mn-ea"/>
              <a:cs typeface="Calibri"/>
            </a:rPr>
            <a:pPr marL="0" indent="0"/>
            <a:t>Crossover Frequency = 4.2 kHz</a:t>
          </a:fld>
          <a:endParaRPr lang="en-US" sz="1100" b="1" i="0" u="none" strike="noStrike">
            <a:solidFill>
              <a:schemeClr val="accent1"/>
            </a:solidFill>
            <a:latin typeface="Calibri"/>
            <a:ea typeface="+mn-ea"/>
            <a:cs typeface="Calibri"/>
          </a:endParaRPr>
        </a:p>
      </cdr:txBody>
    </cdr:sp>
  </cdr:relSizeAnchor>
  <cdr:relSizeAnchor xmlns:cdr="http://schemas.openxmlformats.org/drawingml/2006/chartDrawing">
    <cdr:from>
      <cdr:x>0.10186</cdr:x>
      <cdr:y>0.77736</cdr:y>
    </cdr:from>
    <cdr:to>
      <cdr:x>0.29445</cdr:x>
      <cdr:y>0.82667</cdr:y>
    </cdr:to>
    <cdr:sp macro="" textlink="Compensation!$AK$218">
      <cdr:nvSpPr>
        <cdr:cNvPr id="3" name="TextBox 14">
          <a:extLst xmlns:a="http://schemas.openxmlformats.org/drawingml/2006/main">
            <a:ext uri="{FF2B5EF4-FFF2-40B4-BE49-F238E27FC236}">
              <a16:creationId xmlns:a16="http://schemas.microsoft.com/office/drawing/2014/main" id="{BA5545DC-57BA-471F-974E-C1FC032F5915}"/>
            </a:ext>
          </a:extLst>
        </cdr:cNvPr>
        <cdr:cNvSpPr txBox="1"/>
      </cdr:nvSpPr>
      <cdr:spPr>
        <a:xfrm xmlns:a="http://schemas.openxmlformats.org/drawingml/2006/main">
          <a:off x="694952" y="2888668"/>
          <a:ext cx="1313967" cy="183235"/>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fld id="{16C044E2-B621-411D-8501-E719163EF9F7}" type="TxLink">
            <a:rPr lang="en-US" sz="1100" b="1" i="0" u="none" strike="noStrike">
              <a:solidFill>
                <a:srgbClr val="C00000"/>
              </a:solidFill>
              <a:latin typeface="Calibri"/>
              <a:ea typeface="+mn-ea"/>
              <a:cs typeface="Calibri"/>
            </a:rPr>
            <a:pPr marL="0" indent="0"/>
            <a:t>Phase Margin = 57°</a:t>
          </a:fld>
          <a:endParaRPr lang="en-US" sz="1100" b="1" i="0" u="none" strike="noStrike">
            <a:solidFill>
              <a:srgbClr val="C00000"/>
            </a:solidFill>
            <a:latin typeface="Calibri"/>
            <a:ea typeface="+mn-ea"/>
            <a:cs typeface="Calibri"/>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28</xdr:col>
      <xdr:colOff>403539</xdr:colOff>
      <xdr:row>14</xdr:row>
      <xdr:rowOff>57686</xdr:rowOff>
    </xdr:from>
    <xdr:to>
      <xdr:col>38</xdr:col>
      <xdr:colOff>95250</xdr:colOff>
      <xdr:row>33</xdr:row>
      <xdr:rowOff>9806</xdr:rowOff>
    </xdr:to>
    <xdr:graphicFrame macro="">
      <xdr:nvGraphicFramePr>
        <xdr:cNvPr id="4" name="Chart 3">
          <a:extLst>
            <a:ext uri="{FF2B5EF4-FFF2-40B4-BE49-F238E27FC236}">
              <a16:creationId xmlns:a16="http://schemas.microsoft.com/office/drawing/2014/main" id="{F5CBAC80-3B6A-4224-BFA3-DA4C22E7B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7099</xdr:colOff>
      <xdr:row>14</xdr:row>
      <xdr:rowOff>113749</xdr:rowOff>
    </xdr:from>
    <xdr:to>
      <xdr:col>26</xdr:col>
      <xdr:colOff>96896</xdr:colOff>
      <xdr:row>33</xdr:row>
      <xdr:rowOff>81668</xdr:rowOff>
    </xdr:to>
    <xdr:graphicFrame macro="">
      <xdr:nvGraphicFramePr>
        <xdr:cNvPr id="5" name="Chart 4">
          <a:extLst>
            <a:ext uri="{FF2B5EF4-FFF2-40B4-BE49-F238E27FC236}">
              <a16:creationId xmlns:a16="http://schemas.microsoft.com/office/drawing/2014/main" id="{332C74A6-993E-4C16-B9C6-84634B54E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612320</xdr:colOff>
      <xdr:row>5</xdr:row>
      <xdr:rowOff>176894</xdr:rowOff>
    </xdr:from>
    <xdr:to>
      <xdr:col>22</xdr:col>
      <xdr:colOff>511971</xdr:colOff>
      <xdr:row>23</xdr:row>
      <xdr:rowOff>69522</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598714</xdr:colOff>
      <xdr:row>24</xdr:row>
      <xdr:rowOff>0</xdr:rowOff>
    </xdr:from>
    <xdr:to>
      <xdr:col>22</xdr:col>
      <xdr:colOff>498365</xdr:colOff>
      <xdr:row>42</xdr:row>
      <xdr:rowOff>83128</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27214</xdr:colOff>
      <xdr:row>44</xdr:row>
      <xdr:rowOff>0</xdr:rowOff>
    </xdr:from>
    <xdr:to>
      <xdr:col>22</xdr:col>
      <xdr:colOff>539186</xdr:colOff>
      <xdr:row>62</xdr:row>
      <xdr:rowOff>83128</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69274</xdr:colOff>
      <xdr:row>167</xdr:row>
      <xdr:rowOff>123825</xdr:rowOff>
    </xdr:from>
    <xdr:to>
      <xdr:col>43</xdr:col>
      <xdr:colOff>548452</xdr:colOff>
      <xdr:row>187</xdr:row>
      <xdr:rowOff>138113</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125867</xdr:colOff>
      <xdr:row>77</xdr:row>
      <xdr:rowOff>551397</xdr:rowOff>
    </xdr:from>
    <xdr:to>
      <xdr:col>43</xdr:col>
      <xdr:colOff>88284</xdr:colOff>
      <xdr:row>99</xdr:row>
      <xdr:rowOff>143864</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95250</xdr:colOff>
      <xdr:row>101</xdr:row>
      <xdr:rowOff>0</xdr:rowOff>
    </xdr:from>
    <xdr:to>
      <xdr:col>39</xdr:col>
      <xdr:colOff>370494</xdr:colOff>
      <xdr:row>120</xdr:row>
      <xdr:rowOff>96075</xdr:rowOff>
    </xdr:to>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0</xdr:colOff>
      <xdr:row>189</xdr:row>
      <xdr:rowOff>23812</xdr:rowOff>
    </xdr:from>
    <xdr:to>
      <xdr:col>39</xdr:col>
      <xdr:colOff>275244</xdr:colOff>
      <xdr:row>208</xdr:row>
      <xdr:rowOff>119887</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1</xdr:col>
      <xdr:colOff>600075</xdr:colOff>
      <xdr:row>2</xdr:row>
      <xdr:rowOff>66626</xdr:rowOff>
    </xdr:to>
    <xdr:pic>
      <xdr:nvPicPr>
        <xdr:cNvPr id="2" name="Picture 1" descr="ti logo">
          <a:hlinkClick xmlns:r="http://schemas.openxmlformats.org/officeDocument/2006/relationships" r:id="rId1"/>
          <a:extLst>
            <a:ext uri="{FF2B5EF4-FFF2-40B4-BE49-F238E27FC236}">
              <a16:creationId xmlns:a16="http://schemas.microsoft.com/office/drawing/2014/main" id="{7F4A31C9-CC8E-4C7E-874A-5BF5441C9C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2400"/>
          <a:ext cx="2314575" cy="276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200025</xdr:colOff>
      <xdr:row>0</xdr:row>
      <xdr:rowOff>114300</xdr:rowOff>
    </xdr:from>
    <xdr:ext cx="3752850" cy="381708"/>
    <xdr:sp macro="" textlink="">
      <xdr:nvSpPr>
        <xdr:cNvPr id="3" name="TextBox 2">
          <a:extLst>
            <a:ext uri="{FF2B5EF4-FFF2-40B4-BE49-F238E27FC236}">
              <a16:creationId xmlns:a16="http://schemas.microsoft.com/office/drawing/2014/main" id="{F1BDFA78-8DE2-4207-B9BD-96352FCE71EA}"/>
            </a:ext>
          </a:extLst>
        </xdr:cNvPr>
        <xdr:cNvSpPr txBox="1"/>
      </xdr:nvSpPr>
      <xdr:spPr>
        <a:xfrm>
          <a:off x="1914525" y="114300"/>
          <a:ext cx="3752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About this tool...</a:t>
          </a:r>
        </a:p>
      </xdr:txBody>
    </xdr:sp>
    <xdr:clientData/>
  </xdr:oneCellAnchor>
  <xdr:oneCellAnchor>
    <xdr:from>
      <xdr:col>3</xdr:col>
      <xdr:colOff>323850</xdr:colOff>
      <xdr:row>1</xdr:row>
      <xdr:rowOff>28575</xdr:rowOff>
    </xdr:from>
    <xdr:ext cx="4719497" cy="254557"/>
    <xdr:sp macro="" textlink="">
      <xdr:nvSpPr>
        <xdr:cNvPr id="4" name="TextBox 3">
          <a:hlinkClick xmlns:r="http://schemas.openxmlformats.org/officeDocument/2006/relationships" r:id="rId3"/>
          <a:extLst>
            <a:ext uri="{FF2B5EF4-FFF2-40B4-BE49-F238E27FC236}">
              <a16:creationId xmlns:a16="http://schemas.microsoft.com/office/drawing/2014/main" id="{ECCC6192-3A7D-44E4-A46B-A07AED784DC0}"/>
            </a:ext>
          </a:extLst>
        </xdr:cNvPr>
        <xdr:cNvSpPr txBox="1"/>
      </xdr:nvSpPr>
      <xdr:spPr>
        <a:xfrm>
          <a:off x="6419850" y="209550"/>
          <a:ext cx="471949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Arial" panose="020B0604020202020204" pitchFamily="34" charset="0"/>
              <a:ea typeface="+mn-ea"/>
              <a:cs typeface="Arial" panose="020B0604020202020204" pitchFamily="34" charset="0"/>
              <a:hlinkClick xmlns:r="http://schemas.openxmlformats.org/officeDocument/2006/relationships" r:id=""/>
            </a:rPr>
            <a:t>© Copyright 2025</a:t>
          </a:r>
          <a:r>
            <a:rPr lang="en-US" sz="1100" b="0" i="0">
              <a:solidFill>
                <a:schemeClr val="tx1"/>
              </a:solidFill>
              <a:effectLst/>
              <a:latin typeface="Arial" panose="020B0604020202020204" pitchFamily="34" charset="0"/>
              <a:ea typeface="+mn-ea"/>
              <a:cs typeface="Arial" panose="020B0604020202020204" pitchFamily="34" charset="0"/>
            </a:rPr>
            <a:t> Texas Instruments Incorporated. All rights reserved.</a:t>
          </a:r>
          <a:endParaRPr lang="en-US" sz="1100" b="0">
            <a:latin typeface="Arial" panose="020B0604020202020204" pitchFamily="34" charset="0"/>
            <a:cs typeface="Arial" panose="020B0604020202020204" pitchFamily="34" charset="0"/>
          </a:endParaRPr>
        </a:p>
      </xdr:txBody>
    </xdr:sp>
    <xdr:clientData/>
  </xdr:oneCellAnchor>
  <xdr:oneCellAnchor>
    <xdr:from>
      <xdr:col>0</xdr:col>
      <xdr:colOff>95247</xdr:colOff>
      <xdr:row>6</xdr:row>
      <xdr:rowOff>47624</xdr:rowOff>
    </xdr:from>
    <xdr:ext cx="11229977" cy="4219576"/>
    <xdr:sp macro="" textlink="">
      <xdr:nvSpPr>
        <xdr:cNvPr id="5" name="TextBox 4">
          <a:extLst>
            <a:ext uri="{FF2B5EF4-FFF2-40B4-BE49-F238E27FC236}">
              <a16:creationId xmlns:a16="http://schemas.microsoft.com/office/drawing/2014/main" id="{D27F3F2E-5CFA-4D29-B5A0-C07AB4F1E69C}"/>
            </a:ext>
          </a:extLst>
        </xdr:cNvPr>
        <xdr:cNvSpPr txBox="1"/>
      </xdr:nvSpPr>
      <xdr:spPr>
        <a:xfrm>
          <a:off x="95247" y="1133474"/>
          <a:ext cx="11229977" cy="4219576"/>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bIns="0" rtlCol="0" anchor="t">
          <a:noAutofit/>
        </a:bodyPr>
        <a:lstStyle/>
        <a:p>
          <a:pPr algn="ctr" eaLnBrk="1" fontAlgn="auto" latinLnBrk="0" hangingPunct="1"/>
          <a:r>
            <a:rPr lang="en-US" sz="1800" b="1" i="0" baseline="0">
              <a:solidFill>
                <a:schemeClr val="tx1"/>
              </a:solidFill>
              <a:effectLst/>
              <a:latin typeface="+mn-lt"/>
              <a:ea typeface="+mn-ea"/>
              <a:cs typeface="+mn-cs"/>
            </a:rPr>
            <a:t>IMPORTANT NOTICE AND DISCLAIMER</a:t>
          </a:r>
          <a:endParaRPr lang="en-US" sz="1800">
            <a:effectLst/>
          </a:endParaRPr>
        </a:p>
        <a:p>
          <a:pPr eaLnBrk="1" fontAlgn="auto" latinLnBrk="0" hangingPunct="1"/>
          <a:br>
            <a:rPr lang="en-US" sz="1100" b="0" i="0" baseline="0">
              <a:solidFill>
                <a:schemeClr val="tx1"/>
              </a:solidFill>
              <a:effectLst/>
              <a:latin typeface="+mn-lt"/>
              <a:ea typeface="+mn-ea"/>
              <a:cs typeface="+mn-cs"/>
            </a:rPr>
          </a:br>
          <a:r>
            <a:rPr lang="en-US" sz="1100" b="0" i="0" baseline="0">
              <a:solidFill>
                <a:schemeClr val="tx1"/>
              </a:solidFill>
              <a:effectLst/>
              <a:latin typeface="+mn-lt"/>
              <a:ea typeface="+mn-ea"/>
              <a:cs typeface="+mn-cs"/>
            </a:rPr>
            <a:t>TI PROVIDES TECHNICAL AND RELIABILITY DATA (INCLUDING DATA SHEETS), DESIGN RESOURCES (INCLUDING REFERENCE DESIGNS), APPLICATION OR OTHER DESIGN ADVICE, WEB TOOLS, SAFETY INFORMATION, AND OTHER RESOURCES “AS IS” AND WITH ALL FAULTS, AND DISCLAIMS ALL WARRANTIES, EXPRESS AND IMPLIED, INCLUDING WITHOUT LIMITATION ANY IMPLIED WARRANTIES OF MERCHANTABILITY, FITNESS FOR A PARTICULAR PURPOSE OR NON-INFRINGEMENT OF THIRD PARTY INTELLECTUAL PROPERTY RIGHTS.</a:t>
          </a:r>
          <a:endParaRPr lang="en-US" sz="1100">
            <a:effectLst/>
          </a:endParaRPr>
        </a:p>
        <a:p>
          <a:pPr eaLnBrk="1" fontAlgn="auto" latinLnBrk="0" hangingPunct="1"/>
          <a:br>
            <a:rPr lang="en-US" sz="1100" b="0" i="0" baseline="0">
              <a:solidFill>
                <a:schemeClr val="tx1"/>
              </a:solidFill>
              <a:effectLst/>
              <a:latin typeface="+mn-lt"/>
              <a:ea typeface="+mn-ea"/>
              <a:cs typeface="+mn-cs"/>
            </a:rPr>
          </a:br>
          <a:r>
            <a:rPr lang="en-US" sz="1100">
              <a:solidFill>
                <a:schemeClr val="tx1"/>
              </a:solidFill>
              <a:effectLst/>
              <a:latin typeface="+mn-lt"/>
              <a:ea typeface="+mn-ea"/>
              <a:cs typeface="+mn-cs"/>
            </a:rPr>
            <a:t>These resources are intended for skilled developers designing with TI products. You are solely responsible for (1) selecting the appropriate TI products for your application, (2) designing, validating and testing your application, and (3) ensuring your application meets applicable standards, and any other safety, security, regulatory or other requirements. </a:t>
          </a:r>
        </a:p>
        <a:p>
          <a:pPr eaLnBrk="1" fontAlgn="auto" latinLnBrk="0" hangingPunct="1"/>
          <a:endParaRPr lang="en-US" sz="1100">
            <a:effectLst/>
          </a:endParaRPr>
        </a:p>
        <a:p>
          <a:pPr eaLnBrk="1" fontAlgn="auto" latinLnBrk="0" hangingPunct="1"/>
          <a:r>
            <a:rPr lang="en-US" sz="1100">
              <a:solidFill>
                <a:schemeClr val="tx1"/>
              </a:solidFill>
              <a:effectLst/>
              <a:latin typeface="+mn-lt"/>
              <a:ea typeface="+mn-ea"/>
              <a:cs typeface="+mn-cs"/>
            </a:rPr>
            <a:t>These resources are subject to change without notice. TI grants you permission to use these resources only for development of an application that uses the TI products described in the resource. Other reproduction and display of these resources is prohibited. No license is granted to any other TI intellectual property right or to any third party intellectual property right. TI disclaims responsibility for, and you will fully indemnify TI and its representatives against, any claims, damages, costs, losses, and liabilities arising out of your use of these resources. </a:t>
          </a:r>
        </a:p>
        <a:p>
          <a:pPr eaLnBrk="1" fontAlgn="auto" latinLnBrk="0" hangingPunct="1"/>
          <a:endParaRPr lang="en-US" sz="1100">
            <a:effectLst/>
          </a:endParaRPr>
        </a:p>
        <a:p>
          <a:pPr eaLnBrk="1" fontAlgn="auto" latinLnBrk="0" hangingPunct="1"/>
          <a:r>
            <a:rPr lang="en-US" sz="1100">
              <a:solidFill>
                <a:schemeClr val="tx1"/>
              </a:solidFill>
              <a:effectLst/>
              <a:latin typeface="+mn-lt"/>
              <a:ea typeface="+mn-ea"/>
              <a:cs typeface="+mn-cs"/>
            </a:rPr>
            <a:t>TI’s products are provided subject to TI’s Terms of Sale or other applicable terms available either on ti.com or provided in conjunction with such TI products. TI’s provision of these resources does not expand or otherwise alter TI’s applicable warranties or warranty disclaimers for TI products. </a:t>
          </a:r>
        </a:p>
        <a:p>
          <a:pPr eaLnBrk="1" fontAlgn="auto" latinLnBrk="0" hangingPunct="1"/>
          <a:endParaRPr lang="en-US" sz="1100">
            <a:effectLst/>
          </a:endParaRPr>
        </a:p>
        <a:p>
          <a:pPr eaLnBrk="1" fontAlgn="auto" latinLnBrk="0" hangingPunct="1"/>
          <a:r>
            <a:rPr lang="en-US" sz="1100">
              <a:solidFill>
                <a:schemeClr val="tx1"/>
              </a:solidFill>
              <a:effectLst/>
              <a:latin typeface="+mn-lt"/>
              <a:ea typeface="+mn-ea"/>
              <a:cs typeface="+mn-cs"/>
            </a:rPr>
            <a:t>TI objects to and rejects any additional or different terms you may have proposed. </a:t>
          </a:r>
          <a:endParaRPr lang="en-US" sz="1100">
            <a:effectLst/>
          </a:endParaRPr>
        </a:p>
        <a:p>
          <a:pPr algn="ctr" eaLnBrk="1" fontAlgn="auto" latinLnBrk="0" hangingPunct="1"/>
          <a:br>
            <a:rPr lang="en-US" sz="1100" b="0" i="0" baseline="0">
              <a:solidFill>
                <a:schemeClr val="tx1"/>
              </a:solidFill>
              <a:effectLst/>
              <a:latin typeface="+mn-lt"/>
              <a:ea typeface="+mn-ea"/>
              <a:cs typeface="+mn-cs"/>
            </a:rPr>
          </a:br>
          <a:r>
            <a:rPr lang="en-US" sz="1100">
              <a:solidFill>
                <a:schemeClr val="tx1"/>
              </a:solidFill>
              <a:effectLst/>
              <a:latin typeface="+mn-lt"/>
              <a:ea typeface="+mn-ea"/>
              <a:cs typeface="+mn-cs"/>
            </a:rPr>
            <a:t>Mailing Address: Texas Instruments, Post Office Box 655303, Dallas, Texas 75265</a:t>
          </a:r>
          <a:endParaRPr lang="en-US" sz="1800">
            <a:effectLst/>
          </a:endParaRPr>
        </a:p>
        <a:p>
          <a:pPr algn="ctr" eaLnBrk="1" fontAlgn="auto" latinLnBrk="0" hangingPunct="1"/>
          <a:r>
            <a:rPr lang="en-US" sz="1100">
              <a:solidFill>
                <a:schemeClr val="tx1"/>
              </a:solidFill>
              <a:effectLst/>
              <a:latin typeface="+mn-lt"/>
              <a:ea typeface="+mn-ea"/>
              <a:cs typeface="+mn-cs"/>
            </a:rPr>
            <a:t>Copyright © 2025, Texas Instruments Incorporated</a:t>
          </a:r>
          <a:endParaRPr lang="en-US" sz="1800">
            <a:effectLst/>
          </a:endParaRPr>
        </a:p>
      </xdr:txBody>
    </xdr:sp>
    <xdr:clientData/>
  </xdr:oneCellAnchor>
  <xdr:oneCellAnchor>
    <xdr:from>
      <xdr:col>0</xdr:col>
      <xdr:colOff>99057</xdr:colOff>
      <xdr:row>30</xdr:row>
      <xdr:rowOff>16998</xdr:rowOff>
    </xdr:from>
    <xdr:ext cx="11229977" cy="634512"/>
    <xdr:sp macro="" textlink="">
      <xdr:nvSpPr>
        <xdr:cNvPr id="6" name="TextBox 5">
          <a:extLst>
            <a:ext uri="{FF2B5EF4-FFF2-40B4-BE49-F238E27FC236}">
              <a16:creationId xmlns:a16="http://schemas.microsoft.com/office/drawing/2014/main" id="{D7DD9A64-977C-4777-B92B-61BAA5145A67}"/>
            </a:ext>
          </a:extLst>
        </xdr:cNvPr>
        <xdr:cNvSpPr txBox="1"/>
      </xdr:nvSpPr>
      <xdr:spPr>
        <a:xfrm>
          <a:off x="99057" y="5446248"/>
          <a:ext cx="11229977" cy="63451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IMPORTANT</a:t>
          </a:r>
          <a:r>
            <a:rPr lang="en-US" sz="1100" b="1" baseline="0">
              <a:solidFill>
                <a:schemeClr val="tx1"/>
              </a:solidFill>
              <a:effectLst/>
              <a:latin typeface="+mn-lt"/>
              <a:ea typeface="+mn-ea"/>
              <a:cs typeface="+mn-cs"/>
            </a:rPr>
            <a:t>:   </a:t>
          </a:r>
          <a:endParaRPr lang="en-US" sz="800">
            <a:effectLst/>
          </a:endParaRPr>
        </a:p>
        <a:p>
          <a:r>
            <a:rPr lang="en-US" sz="1100" baseline="0">
              <a:solidFill>
                <a:schemeClr val="tx1"/>
              </a:solidFill>
              <a:effectLst/>
              <a:latin typeface="+mn-lt"/>
              <a:ea typeface="+mn-ea"/>
              <a:cs typeface="+mn-cs"/>
            </a:rPr>
            <a:t>1.  Do not delete this worksheet!</a:t>
          </a:r>
          <a:endParaRPr lang="en-US" sz="800">
            <a:effectLst/>
          </a:endParaRPr>
        </a:p>
        <a:p>
          <a:pPr eaLnBrk="1" fontAlgn="auto" latinLnBrk="0" hangingPunct="1"/>
          <a:r>
            <a:rPr lang="en-US" sz="1100" baseline="0">
              <a:solidFill>
                <a:schemeClr val="tx1"/>
              </a:solidFill>
              <a:effectLst/>
              <a:latin typeface="+mn-lt"/>
              <a:ea typeface="+mn-ea"/>
              <a:cs typeface="+mn-cs"/>
            </a:rPr>
            <a:t>2.  Redistributions must retain the above copyright and the following disclaimer.</a:t>
          </a:r>
          <a:endParaRPr lang="en-US" sz="800">
            <a:effectLst/>
          </a:endParaRPr>
        </a:p>
        <a:p>
          <a:endParaRPr lang="en-US" sz="800" baseline="0">
            <a:latin typeface="Arial" panose="020B0604020202020204" pitchFamily="34" charset="0"/>
            <a:cs typeface="Arial" panose="020B0604020202020204"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ti.com/tool/SYNC-BOOST-FET-LOSS-CALC" TargetMode="External"/><Relationship Id="rId1" Type="http://schemas.openxmlformats.org/officeDocument/2006/relationships/hyperlink" Target="https://www.ti.com/tool/SYNC-BUCK-FET-LOSS-CALC"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06"/>
  <sheetViews>
    <sheetView tabSelected="1" zoomScale="115" zoomScaleNormal="115" workbookViewId="0">
      <selection activeCell="B11" sqref="B11"/>
    </sheetView>
  </sheetViews>
  <sheetFormatPr defaultColWidth="9.140625" defaultRowHeight="15"/>
  <cols>
    <col min="1" max="1" width="50.140625" style="136" customWidth="1"/>
    <col min="2" max="2" width="10" style="137" customWidth="1"/>
    <col min="3" max="3" width="4.7109375" style="137" customWidth="1"/>
    <col min="4" max="4" width="9.140625" style="138"/>
    <col min="5" max="5" width="10" style="137" bestFit="1" customWidth="1"/>
    <col min="6" max="9" width="9.140625" style="137"/>
    <col min="10" max="10" width="9.140625" style="137" customWidth="1"/>
    <col min="11" max="17" width="9.140625" style="137"/>
    <col min="18" max="18" width="12.7109375" style="137" customWidth="1"/>
    <col min="19" max="19" width="9.140625" style="158"/>
    <col min="20" max="20" width="9.140625" style="138"/>
    <col min="21" max="16384" width="9.140625" style="137"/>
  </cols>
  <sheetData>
    <row r="1" spans="1:22" s="268" customFormat="1">
      <c r="A1" s="267" t="s">
        <v>350</v>
      </c>
    </row>
    <row r="2" spans="1:22" s="270" customFormat="1">
      <c r="A2" s="269"/>
    </row>
    <row r="3" spans="1:22" s="270" customFormat="1" ht="12.75" customHeight="1">
      <c r="A3" s="269"/>
    </row>
    <row r="4" spans="1:22" s="125" customFormat="1" ht="15.75" thickBot="1">
      <c r="A4" s="124"/>
      <c r="F4" s="126"/>
      <c r="G4" s="126"/>
      <c r="H4" s="126"/>
      <c r="I4" s="126"/>
      <c r="J4" s="126"/>
      <c r="K4" s="126"/>
      <c r="L4" s="126"/>
      <c r="M4" s="126"/>
      <c r="N4" s="126"/>
      <c r="O4" s="126"/>
      <c r="P4" s="126"/>
      <c r="Q4" s="126"/>
      <c r="R4" s="126"/>
      <c r="S4" s="127"/>
      <c r="T4" s="126"/>
      <c r="U4" s="126"/>
      <c r="V4" s="126"/>
    </row>
    <row r="5" spans="1:22" s="125" customFormat="1" ht="15.75" thickBot="1">
      <c r="A5" s="128"/>
      <c r="B5" s="129"/>
      <c r="C5" s="130" t="s">
        <v>115</v>
      </c>
      <c r="F5" s="126"/>
      <c r="G5" s="131" t="s">
        <v>239</v>
      </c>
      <c r="H5" s="131"/>
      <c r="I5" s="131"/>
      <c r="K5" s="126"/>
      <c r="L5" s="126"/>
      <c r="M5" s="126"/>
      <c r="N5" s="126"/>
      <c r="O5" s="126"/>
      <c r="P5" s="126"/>
      <c r="R5" s="200" t="s">
        <v>240</v>
      </c>
      <c r="S5" s="127"/>
      <c r="T5" s="126"/>
      <c r="U5" s="126"/>
      <c r="V5" s="126"/>
    </row>
    <row r="6" spans="1:22" s="133" customFormat="1" ht="15.75" thickBot="1">
      <c r="A6" s="132"/>
      <c r="F6" s="134"/>
      <c r="G6" s="134"/>
      <c r="H6" s="134"/>
      <c r="I6" s="134"/>
      <c r="J6" s="134"/>
      <c r="K6" s="134"/>
      <c r="L6" s="134"/>
      <c r="M6" s="134"/>
      <c r="N6" s="134"/>
      <c r="O6" s="134"/>
      <c r="P6" s="134"/>
      <c r="Q6" s="134"/>
      <c r="R6" s="134"/>
      <c r="S6" s="135"/>
      <c r="T6" s="134"/>
      <c r="U6" s="134"/>
      <c r="V6" s="134"/>
    </row>
    <row r="7" spans="1:22">
      <c r="F7" s="139"/>
      <c r="G7" s="139"/>
      <c r="H7" s="139"/>
      <c r="I7" s="139"/>
      <c r="J7" s="139"/>
      <c r="K7" s="139"/>
      <c r="L7" s="139"/>
      <c r="M7" s="139"/>
      <c r="N7" s="139"/>
      <c r="O7" s="139"/>
      <c r="P7" s="139"/>
      <c r="Q7" s="139"/>
      <c r="R7" s="139"/>
      <c r="S7" s="140"/>
      <c r="T7" s="139"/>
      <c r="U7" s="139"/>
      <c r="V7" s="139"/>
    </row>
    <row r="8" spans="1:22" ht="18.75" customHeight="1">
      <c r="A8" s="255" t="s">
        <v>349</v>
      </c>
      <c r="B8" s="255"/>
      <c r="C8" s="255"/>
      <c r="F8" s="139"/>
      <c r="O8" s="139"/>
      <c r="P8" s="139"/>
      <c r="Q8" s="139"/>
      <c r="R8" s="139"/>
      <c r="S8" s="140"/>
      <c r="T8" s="139"/>
      <c r="U8" s="139"/>
      <c r="V8" s="139"/>
    </row>
    <row r="9" spans="1:22" ht="8.1" customHeight="1" thickBot="1">
      <c r="A9" s="141"/>
      <c r="B9" s="141"/>
      <c r="C9" s="141"/>
      <c r="F9" s="139"/>
      <c r="O9" s="139"/>
      <c r="P9" s="139"/>
      <c r="Q9" s="139"/>
      <c r="R9" s="139"/>
      <c r="S9" s="140"/>
      <c r="T9" s="139"/>
      <c r="U9" s="139"/>
      <c r="V9" s="139"/>
    </row>
    <row r="10" spans="1:22" ht="17.25" customHeight="1" thickBot="1">
      <c r="A10" s="256" t="s">
        <v>261</v>
      </c>
      <c r="B10" s="257"/>
      <c r="C10" s="258"/>
      <c r="F10" s="139"/>
      <c r="G10" s="266" t="s">
        <v>236</v>
      </c>
      <c r="H10" s="266"/>
      <c r="I10" s="266"/>
      <c r="J10" s="266"/>
      <c r="K10" s="266"/>
      <c r="L10" s="266"/>
      <c r="M10" s="266"/>
      <c r="N10" s="266"/>
      <c r="O10" s="142"/>
      <c r="P10" s="139"/>
      <c r="Q10" s="139"/>
      <c r="R10" s="139"/>
      <c r="S10" s="140"/>
      <c r="T10" s="139"/>
      <c r="U10" s="139"/>
      <c r="V10" s="139"/>
    </row>
    <row r="11" spans="1:22" ht="15" customHeight="1">
      <c r="A11" s="171" t="s">
        <v>266</v>
      </c>
      <c r="B11" s="166">
        <v>32</v>
      </c>
      <c r="C11" s="144" t="s">
        <v>1</v>
      </c>
      <c r="E11" s="139"/>
      <c r="F11" s="139"/>
      <c r="G11" s="266"/>
      <c r="H11" s="266"/>
      <c r="I11" s="266"/>
      <c r="J11" s="266"/>
      <c r="K11" s="266"/>
      <c r="L11" s="266"/>
      <c r="M11" s="266"/>
      <c r="N11" s="266"/>
      <c r="O11" s="139"/>
      <c r="P11" s="139"/>
      <c r="Q11" s="139"/>
      <c r="R11" s="139"/>
      <c r="S11" s="140"/>
      <c r="T11" s="139"/>
      <c r="U11" s="139"/>
      <c r="V11" s="139"/>
    </row>
    <row r="12" spans="1:22" ht="15" customHeight="1">
      <c r="A12" s="171" t="s">
        <v>267</v>
      </c>
      <c r="B12" s="166">
        <v>48</v>
      </c>
      <c r="C12" s="144" t="s">
        <v>1</v>
      </c>
      <c r="E12" s="139"/>
      <c r="F12" s="139"/>
      <c r="G12" s="139"/>
      <c r="H12" s="139"/>
      <c r="I12" s="139"/>
      <c r="J12" s="139"/>
      <c r="K12" s="139"/>
      <c r="L12" s="139"/>
      <c r="M12" s="139"/>
      <c r="N12" s="139"/>
      <c r="O12" s="139"/>
      <c r="P12" s="139"/>
      <c r="Q12" s="139"/>
      <c r="R12" s="139"/>
      <c r="S12" s="140"/>
      <c r="T12" s="139"/>
      <c r="U12" s="139"/>
      <c r="V12" s="139"/>
    </row>
    <row r="13" spans="1:22" ht="15.75" thickBot="1">
      <c r="A13" s="177" t="s">
        <v>268</v>
      </c>
      <c r="B13" s="167">
        <v>72</v>
      </c>
      <c r="C13" s="146" t="s">
        <v>1</v>
      </c>
      <c r="E13" s="139"/>
      <c r="F13" s="139"/>
      <c r="G13" s="139"/>
      <c r="H13" s="139"/>
      <c r="I13" s="139"/>
      <c r="J13" s="139"/>
      <c r="K13" s="139"/>
      <c r="L13" s="139"/>
      <c r="M13" s="139"/>
      <c r="N13" s="139"/>
      <c r="O13" s="139"/>
      <c r="P13" s="139"/>
      <c r="Q13" s="139"/>
      <c r="R13" s="139"/>
      <c r="S13" s="140"/>
      <c r="T13" s="139"/>
      <c r="U13" s="139"/>
      <c r="V13" s="139"/>
    </row>
    <row r="14" spans="1:22" ht="15.75" thickBot="1">
      <c r="A14" s="147"/>
      <c r="B14" s="148"/>
      <c r="C14" s="138"/>
      <c r="E14" s="139"/>
      <c r="F14" s="139"/>
      <c r="G14" s="139"/>
      <c r="H14" s="139"/>
      <c r="I14" s="139"/>
      <c r="J14" s="139"/>
      <c r="K14" s="139"/>
      <c r="L14" s="139"/>
      <c r="M14" s="139"/>
      <c r="N14" s="139"/>
      <c r="O14" s="139"/>
      <c r="P14" s="139"/>
      <c r="Q14" s="139"/>
      <c r="R14" s="139"/>
      <c r="S14" s="140"/>
      <c r="T14" s="139"/>
      <c r="U14" s="139"/>
      <c r="V14" s="139"/>
    </row>
    <row r="15" spans="1:22" ht="15.75" thickBot="1">
      <c r="A15" s="256" t="s">
        <v>565</v>
      </c>
      <c r="B15" s="257"/>
      <c r="C15" s="258"/>
      <c r="E15" s="139"/>
      <c r="F15" s="139"/>
      <c r="G15" s="139"/>
      <c r="H15" s="139"/>
      <c r="I15" s="139"/>
      <c r="J15" s="139"/>
      <c r="K15" s="139"/>
      <c r="L15" s="139"/>
      <c r="M15" s="139"/>
      <c r="N15" s="139"/>
      <c r="O15" s="139"/>
      <c r="P15" s="139"/>
      <c r="Q15" s="139"/>
      <c r="R15" s="139"/>
      <c r="S15" s="140"/>
      <c r="T15" s="139"/>
      <c r="U15" s="139"/>
      <c r="V15" s="139"/>
    </row>
    <row r="16" spans="1:22">
      <c r="A16" s="171" t="s">
        <v>263</v>
      </c>
      <c r="B16" s="166">
        <v>12</v>
      </c>
      <c r="C16" s="144" t="s">
        <v>1</v>
      </c>
      <c r="E16" s="139"/>
      <c r="F16" s="139"/>
      <c r="G16" s="139"/>
      <c r="H16" s="139"/>
      <c r="I16" s="139"/>
      <c r="J16" s="139"/>
      <c r="K16" s="139"/>
      <c r="L16" s="139"/>
      <c r="M16" s="139"/>
      <c r="N16" s="139"/>
      <c r="O16" s="139"/>
      <c r="P16" s="139"/>
      <c r="Q16" s="139"/>
      <c r="R16" s="139"/>
      <c r="S16" s="140"/>
      <c r="T16" s="139"/>
      <c r="U16" s="139"/>
      <c r="V16" s="139"/>
    </row>
    <row r="17" spans="1:22">
      <c r="A17" s="171" t="s">
        <v>264</v>
      </c>
      <c r="B17" s="166">
        <v>14.3</v>
      </c>
      <c r="C17" s="144" t="s">
        <v>1</v>
      </c>
      <c r="E17" s="139"/>
      <c r="F17" s="139"/>
      <c r="G17" s="139"/>
      <c r="H17" s="139"/>
      <c r="I17" s="139"/>
      <c r="J17" s="139"/>
      <c r="K17" s="139"/>
      <c r="L17" s="139"/>
      <c r="M17" s="139"/>
      <c r="N17" s="139"/>
      <c r="O17" s="139"/>
      <c r="P17" s="139"/>
      <c r="Q17" s="139"/>
      <c r="R17" s="139"/>
      <c r="S17" s="140"/>
      <c r="T17" s="139"/>
      <c r="U17" s="139"/>
      <c r="V17" s="139"/>
    </row>
    <row r="18" spans="1:22" ht="15.75" thickBot="1">
      <c r="A18" s="177" t="s">
        <v>265</v>
      </c>
      <c r="B18" s="167">
        <v>16</v>
      </c>
      <c r="C18" s="146" t="s">
        <v>1</v>
      </c>
      <c r="F18" s="139"/>
      <c r="G18" s="139"/>
      <c r="H18" s="139"/>
      <c r="I18" s="139"/>
      <c r="J18" s="139"/>
      <c r="K18" s="139"/>
      <c r="L18" s="139"/>
      <c r="M18" s="139"/>
      <c r="N18" s="139"/>
      <c r="O18" s="139"/>
      <c r="P18" s="139"/>
      <c r="Q18" s="139"/>
      <c r="R18" s="139"/>
      <c r="S18" s="140"/>
      <c r="T18" s="139"/>
      <c r="U18" s="139"/>
      <c r="V18" s="139"/>
    </row>
    <row r="19" spans="1:22" ht="15.75" thickBot="1">
      <c r="A19" s="147"/>
      <c r="B19" s="148"/>
      <c r="C19" s="138"/>
      <c r="F19" s="139"/>
      <c r="G19" s="139"/>
      <c r="H19" s="139"/>
      <c r="I19" s="139"/>
      <c r="J19" s="139"/>
      <c r="K19" s="139"/>
      <c r="L19" s="139"/>
      <c r="M19" s="139"/>
      <c r="N19" s="139"/>
      <c r="O19" s="139"/>
      <c r="P19" s="139"/>
      <c r="Q19" s="139"/>
      <c r="R19" s="139"/>
      <c r="S19" s="140"/>
      <c r="T19" s="139"/>
      <c r="U19" s="139"/>
      <c r="V19" s="139"/>
    </row>
    <row r="20" spans="1:22" ht="15.75" thickBot="1">
      <c r="A20" s="256" t="s">
        <v>2</v>
      </c>
      <c r="B20" s="257"/>
      <c r="C20" s="258"/>
      <c r="F20" s="139"/>
      <c r="G20" s="139"/>
      <c r="H20" s="139"/>
      <c r="I20" s="139"/>
      <c r="J20" s="139"/>
      <c r="K20" s="139"/>
      <c r="L20" s="139"/>
      <c r="M20" s="139"/>
      <c r="N20" s="139"/>
      <c r="O20" s="139"/>
      <c r="P20" s="139"/>
      <c r="Q20" s="139"/>
      <c r="R20" s="139"/>
      <c r="S20" s="140"/>
      <c r="T20" s="139"/>
      <c r="U20" s="139"/>
      <c r="V20" s="139"/>
    </row>
    <row r="21" spans="1:22">
      <c r="A21" s="171" t="s">
        <v>262</v>
      </c>
      <c r="B21" s="166">
        <v>100</v>
      </c>
      <c r="C21" s="144" t="s">
        <v>3</v>
      </c>
      <c r="F21" s="139"/>
      <c r="G21" s="139"/>
      <c r="H21" s="139"/>
      <c r="I21" s="139"/>
      <c r="J21" s="139"/>
      <c r="K21" s="139"/>
      <c r="L21" s="139"/>
      <c r="M21" s="139"/>
      <c r="N21" s="139"/>
      <c r="O21" s="139"/>
      <c r="P21" s="139"/>
      <c r="Q21" s="139"/>
      <c r="R21" s="139"/>
      <c r="S21" s="140"/>
      <c r="T21" s="139"/>
      <c r="U21" s="139"/>
      <c r="V21" s="139"/>
    </row>
    <row r="22" spans="1:22" ht="18.75" thickBot="1">
      <c r="A22" s="177" t="s">
        <v>370</v>
      </c>
      <c r="B22" s="154">
        <f>Calculations!B16</f>
        <v>41.500000000000007</v>
      </c>
      <c r="C22" s="146" t="s">
        <v>16</v>
      </c>
      <c r="F22" s="139"/>
      <c r="G22" s="139"/>
      <c r="H22" s="139"/>
      <c r="I22" s="139"/>
      <c r="J22" s="139"/>
      <c r="K22" s="139"/>
      <c r="L22" s="139"/>
      <c r="M22" s="139"/>
      <c r="N22" s="139"/>
      <c r="O22" s="139"/>
      <c r="P22" s="139"/>
      <c r="Q22" s="139"/>
      <c r="R22" s="139"/>
      <c r="S22" s="140"/>
      <c r="T22" s="139"/>
      <c r="U22" s="139"/>
      <c r="V22" s="139"/>
    </row>
    <row r="23" spans="1:22" ht="15.75" thickBot="1">
      <c r="A23" s="147"/>
      <c r="B23" s="138"/>
      <c r="C23" s="138"/>
      <c r="F23" s="139"/>
      <c r="G23" s="139"/>
      <c r="H23" s="139"/>
      <c r="I23" s="139"/>
      <c r="J23" s="139"/>
      <c r="K23" s="139"/>
      <c r="L23" s="139"/>
      <c r="M23" s="139"/>
      <c r="N23" s="139"/>
      <c r="O23" s="139"/>
      <c r="P23" s="139"/>
      <c r="Q23" s="139"/>
      <c r="R23" s="139"/>
      <c r="S23" s="140"/>
      <c r="T23" s="139"/>
      <c r="U23" s="139"/>
      <c r="V23" s="139"/>
    </row>
    <row r="24" spans="1:22" ht="15.75" thickBot="1">
      <c r="A24" s="256" t="s">
        <v>237</v>
      </c>
      <c r="B24" s="257"/>
      <c r="C24" s="258"/>
      <c r="F24" s="139"/>
      <c r="G24" s="139"/>
      <c r="H24" s="139"/>
      <c r="I24" s="139"/>
      <c r="J24" s="139"/>
      <c r="K24" s="139"/>
      <c r="L24" s="139"/>
      <c r="M24" s="139"/>
      <c r="N24" s="139"/>
      <c r="O24" s="139"/>
      <c r="P24" s="139"/>
      <c r="Q24" s="139"/>
      <c r="R24" s="139"/>
      <c r="S24" s="140"/>
      <c r="T24" s="139"/>
      <c r="U24" s="139"/>
      <c r="V24" s="139"/>
    </row>
    <row r="25" spans="1:22">
      <c r="A25" s="171" t="s">
        <v>27</v>
      </c>
      <c r="B25" s="166">
        <v>2</v>
      </c>
      <c r="C25" s="144"/>
      <c r="F25" s="139"/>
      <c r="G25" s="139"/>
      <c r="H25" s="139"/>
      <c r="I25" s="139"/>
      <c r="J25" s="139"/>
      <c r="K25" s="139"/>
      <c r="L25" s="139"/>
      <c r="M25" s="139"/>
      <c r="N25" s="139"/>
      <c r="O25" s="139"/>
      <c r="P25" s="139"/>
      <c r="Q25" s="139"/>
      <c r="R25" s="139"/>
      <c r="S25" s="140"/>
      <c r="T25" s="139"/>
      <c r="U25" s="139"/>
      <c r="V25" s="139"/>
    </row>
    <row r="26" spans="1:22">
      <c r="A26" s="171" t="s">
        <v>576</v>
      </c>
      <c r="B26" s="166">
        <v>60</v>
      </c>
      <c r="C26" s="144" t="s">
        <v>4</v>
      </c>
      <c r="F26" s="139"/>
      <c r="G26" s="139"/>
      <c r="H26" s="139"/>
      <c r="I26" s="139"/>
      <c r="J26" s="139"/>
      <c r="K26" s="139"/>
      <c r="L26" s="139"/>
      <c r="M26" s="139"/>
      <c r="N26" s="139"/>
      <c r="O26" s="139"/>
      <c r="P26" s="139"/>
      <c r="Q26" s="139"/>
      <c r="R26" s="139"/>
      <c r="S26" s="140"/>
      <c r="T26" s="139"/>
      <c r="U26" s="139"/>
      <c r="V26" s="139"/>
    </row>
    <row r="27" spans="1:22">
      <c r="A27" s="171" t="s">
        <v>577</v>
      </c>
      <c r="B27" s="166">
        <v>17</v>
      </c>
      <c r="C27" s="144" t="s">
        <v>4</v>
      </c>
      <c r="F27" s="139"/>
      <c r="G27" s="139"/>
      <c r="H27" s="139"/>
      <c r="I27" s="139"/>
      <c r="J27" s="139"/>
      <c r="K27" s="139"/>
      <c r="L27" s="139"/>
      <c r="M27" s="139"/>
      <c r="N27" s="139"/>
      <c r="O27" s="139"/>
      <c r="P27" s="139"/>
      <c r="Q27" s="139"/>
      <c r="R27" s="139"/>
      <c r="S27" s="140"/>
      <c r="T27" s="139"/>
      <c r="U27" s="139"/>
      <c r="V27" s="139"/>
    </row>
    <row r="28" spans="1:22" ht="18">
      <c r="A28" s="171" t="s">
        <v>371</v>
      </c>
      <c r="B28" s="150">
        <f>Calculations!B30</f>
        <v>1.6666666666666667</v>
      </c>
      <c r="C28" s="144" t="s">
        <v>7</v>
      </c>
      <c r="F28" s="139"/>
      <c r="G28" s="139"/>
      <c r="H28" s="139"/>
      <c r="I28" s="139"/>
      <c r="J28" s="139"/>
      <c r="K28" s="139"/>
      <c r="L28" s="139"/>
      <c r="M28" s="139"/>
      <c r="N28" s="139"/>
      <c r="O28" s="139"/>
      <c r="P28" s="139"/>
      <c r="Q28" s="139"/>
      <c r="R28" s="139"/>
      <c r="S28" s="140"/>
      <c r="T28" s="139"/>
      <c r="U28" s="139"/>
      <c r="V28" s="139"/>
    </row>
    <row r="29" spans="1:22" ht="18">
      <c r="A29" s="171" t="s">
        <v>395</v>
      </c>
      <c r="B29" s="166">
        <v>1</v>
      </c>
      <c r="C29" s="144" t="s">
        <v>7</v>
      </c>
      <c r="F29" s="139"/>
      <c r="G29" s="139"/>
      <c r="H29" s="139"/>
      <c r="I29" s="139"/>
      <c r="J29" s="139"/>
      <c r="K29" s="139"/>
      <c r="L29" s="139"/>
      <c r="M29" s="139"/>
      <c r="N29" s="139"/>
      <c r="O29" s="139"/>
      <c r="P29" s="139"/>
      <c r="Q29" s="139"/>
      <c r="R29" s="139"/>
      <c r="S29" s="140"/>
      <c r="T29" s="139"/>
      <c r="U29" s="139"/>
      <c r="V29" s="139"/>
    </row>
    <row r="30" spans="1:22">
      <c r="A30" s="171" t="s">
        <v>372</v>
      </c>
      <c r="B30" s="138">
        <f>I_Channel</f>
        <v>50</v>
      </c>
      <c r="C30" s="144" t="s">
        <v>4</v>
      </c>
      <c r="F30" s="139"/>
      <c r="G30" s="139"/>
      <c r="H30" s="139"/>
      <c r="I30" s="139"/>
      <c r="J30" s="139"/>
      <c r="K30" s="139"/>
      <c r="L30" s="139"/>
      <c r="M30" s="139"/>
      <c r="N30" s="139"/>
      <c r="O30" s="139"/>
      <c r="P30" s="139"/>
      <c r="Q30" s="139"/>
      <c r="R30" s="139"/>
      <c r="S30" s="140"/>
      <c r="T30" s="139"/>
      <c r="U30" s="139"/>
      <c r="V30" s="139"/>
    </row>
    <row r="31" spans="1:22" ht="15.75" thickBot="1">
      <c r="A31" s="177" t="s">
        <v>564</v>
      </c>
      <c r="B31" s="149">
        <f>Calculations!B34</f>
        <v>100</v>
      </c>
      <c r="C31" s="146" t="s">
        <v>4</v>
      </c>
      <c r="F31" s="139"/>
      <c r="G31" s="139"/>
      <c r="H31" s="139"/>
      <c r="I31" s="139"/>
      <c r="J31" s="139"/>
      <c r="K31" s="139"/>
      <c r="L31" s="139"/>
      <c r="M31" s="139"/>
      <c r="N31" s="139"/>
      <c r="O31" s="139"/>
      <c r="P31" s="139"/>
      <c r="Q31" s="139"/>
      <c r="R31" s="139"/>
      <c r="S31" s="140"/>
      <c r="T31" s="139"/>
      <c r="U31" s="139"/>
      <c r="V31" s="139"/>
    </row>
    <row r="32" spans="1:22" ht="18.75">
      <c r="A32" s="271"/>
      <c r="B32" s="271"/>
      <c r="C32" s="271"/>
      <c r="F32" s="139"/>
      <c r="G32" s="139"/>
      <c r="H32" s="139"/>
      <c r="I32" s="139"/>
      <c r="J32" s="139"/>
      <c r="K32" s="139"/>
      <c r="L32" s="139"/>
      <c r="M32" s="139"/>
      <c r="N32" s="139"/>
      <c r="O32" s="139"/>
      <c r="P32" s="139"/>
      <c r="Q32" s="139"/>
      <c r="R32" s="139"/>
      <c r="S32" s="140"/>
      <c r="T32" s="139"/>
      <c r="U32" s="139"/>
      <c r="V32" s="139"/>
    </row>
    <row r="33" spans="1:22" ht="18.75">
      <c r="A33" s="255" t="s">
        <v>238</v>
      </c>
      <c r="B33" s="255"/>
      <c r="C33" s="255"/>
      <c r="F33" s="139"/>
      <c r="G33" s="139"/>
      <c r="H33" s="139"/>
      <c r="I33" s="139"/>
      <c r="J33" s="139"/>
      <c r="K33" s="139"/>
      <c r="L33" s="139"/>
      <c r="M33" s="139"/>
      <c r="N33" s="139"/>
      <c r="O33" s="139"/>
      <c r="P33" s="139"/>
      <c r="Q33" s="139"/>
      <c r="R33" s="139"/>
      <c r="S33" s="140"/>
      <c r="T33" s="139"/>
      <c r="U33" s="139"/>
      <c r="V33" s="139"/>
    </row>
    <row r="34" spans="1:22" ht="8.1" customHeight="1" thickBot="1">
      <c r="A34" s="151"/>
      <c r="B34" s="151"/>
      <c r="C34" s="151"/>
      <c r="F34" s="139"/>
      <c r="G34" s="139"/>
      <c r="H34" s="139"/>
      <c r="I34" s="139"/>
      <c r="J34" s="139"/>
      <c r="K34" s="139"/>
      <c r="L34" s="139"/>
      <c r="M34" s="139"/>
      <c r="N34" s="139"/>
      <c r="O34" s="139"/>
      <c r="P34" s="139"/>
      <c r="Q34" s="139"/>
      <c r="R34" s="139"/>
      <c r="S34" s="140"/>
      <c r="T34" s="139"/>
      <c r="U34" s="139"/>
      <c r="V34" s="139"/>
    </row>
    <row r="35" spans="1:22" ht="15.75" thickBot="1">
      <c r="A35" s="256" t="s">
        <v>9</v>
      </c>
      <c r="B35" s="257"/>
      <c r="C35" s="258"/>
      <c r="F35" s="139"/>
      <c r="G35" s="139"/>
      <c r="H35" s="139"/>
      <c r="I35" s="139"/>
      <c r="J35" s="139"/>
      <c r="K35" s="139"/>
      <c r="L35" s="139"/>
      <c r="M35" s="139"/>
      <c r="N35" s="139"/>
      <c r="O35" s="139"/>
      <c r="P35" s="139"/>
      <c r="Q35" s="139"/>
      <c r="R35" s="139"/>
      <c r="S35" s="140"/>
      <c r="T35" s="139"/>
      <c r="U35" s="139"/>
      <c r="V35" s="139"/>
    </row>
    <row r="36" spans="1:22">
      <c r="A36" s="171" t="s">
        <v>373</v>
      </c>
      <c r="B36" s="168">
        <v>80</v>
      </c>
      <c r="C36" s="152" t="s">
        <v>26</v>
      </c>
      <c r="F36" s="139"/>
      <c r="G36" s="139"/>
      <c r="H36" s="139"/>
      <c r="I36" s="139"/>
      <c r="J36" s="139"/>
      <c r="K36" s="139"/>
      <c r="L36" s="139"/>
      <c r="M36" s="139"/>
      <c r="N36" s="139"/>
      <c r="O36" s="139"/>
      <c r="P36" s="139"/>
      <c r="Q36" s="139"/>
      <c r="R36" s="139"/>
      <c r="S36" s="140"/>
      <c r="T36" s="139"/>
      <c r="U36" s="139"/>
      <c r="V36" s="139"/>
    </row>
    <row r="37" spans="1:22">
      <c r="A37" s="171" t="s">
        <v>378</v>
      </c>
      <c r="B37" s="155">
        <f>Calculations!B42</f>
        <v>4.7749421296296308</v>
      </c>
      <c r="C37" s="144" t="s">
        <v>6</v>
      </c>
      <c r="F37" s="139"/>
      <c r="G37" s="139"/>
      <c r="H37" s="139"/>
      <c r="I37" s="139"/>
      <c r="J37" s="139"/>
      <c r="K37" s="139"/>
      <c r="L37" s="139"/>
      <c r="M37" s="139"/>
      <c r="N37" s="139"/>
      <c r="O37" s="139"/>
      <c r="P37" s="139"/>
      <c r="Q37" s="139"/>
      <c r="R37" s="139"/>
      <c r="S37" s="140"/>
      <c r="T37" s="139"/>
      <c r="U37" s="139"/>
      <c r="V37" s="139"/>
    </row>
    <row r="38" spans="1:22" ht="18">
      <c r="A38" s="171" t="s">
        <v>396</v>
      </c>
      <c r="B38" s="166">
        <v>4.7</v>
      </c>
      <c r="C38" s="144" t="s">
        <v>6</v>
      </c>
      <c r="E38" s="153"/>
      <c r="F38" s="139"/>
      <c r="G38" s="139"/>
      <c r="H38" s="139"/>
      <c r="I38" s="139"/>
      <c r="J38" s="139"/>
      <c r="K38" s="139"/>
      <c r="L38" s="139"/>
      <c r="M38" s="139"/>
      <c r="N38" s="139"/>
      <c r="O38" s="139"/>
      <c r="P38" s="139"/>
      <c r="Q38" s="139"/>
      <c r="R38" s="139"/>
      <c r="S38" s="140"/>
      <c r="T38" s="139"/>
      <c r="U38" s="139"/>
      <c r="V38" s="139"/>
    </row>
    <row r="39" spans="1:22">
      <c r="A39" s="171" t="s">
        <v>29</v>
      </c>
      <c r="B39" s="166">
        <v>1</v>
      </c>
      <c r="C39" s="144" t="s">
        <v>7</v>
      </c>
      <c r="F39" s="139"/>
      <c r="G39" s="139"/>
      <c r="H39" s="139"/>
      <c r="I39" s="139"/>
      <c r="J39" s="139"/>
      <c r="K39" s="139"/>
      <c r="L39" s="139"/>
      <c r="M39" s="139"/>
      <c r="N39" s="139"/>
      <c r="O39" s="139"/>
      <c r="P39" s="139"/>
      <c r="Q39" s="139"/>
      <c r="R39" s="139"/>
      <c r="S39" s="140"/>
      <c r="T39" s="139"/>
      <c r="U39" s="139"/>
      <c r="V39" s="139"/>
    </row>
    <row r="40" spans="1:22" ht="15.75" thickBot="1">
      <c r="A40" s="177" t="s">
        <v>387</v>
      </c>
      <c r="B40" s="154">
        <f>I_Channel_Peak_No_Ilimit</f>
        <v>42.191341607565015</v>
      </c>
      <c r="C40" s="146" t="s">
        <v>4</v>
      </c>
      <c r="F40" s="139"/>
      <c r="G40" s="139"/>
      <c r="H40" s="139"/>
      <c r="I40" s="139"/>
      <c r="J40" s="139"/>
      <c r="K40" s="139"/>
      <c r="L40" s="139"/>
      <c r="M40" s="139"/>
      <c r="N40" s="139"/>
      <c r="O40" s="139"/>
      <c r="P40" s="139"/>
      <c r="Q40" s="139"/>
      <c r="R40" s="139"/>
      <c r="S40" s="140"/>
      <c r="T40" s="139"/>
      <c r="U40" s="139"/>
      <c r="V40" s="139"/>
    </row>
    <row r="41" spans="1:22">
      <c r="A41" s="143"/>
      <c r="B41" s="155"/>
      <c r="C41" s="138"/>
      <c r="F41" s="139"/>
      <c r="G41" s="139"/>
      <c r="H41" s="139"/>
      <c r="I41" s="139"/>
      <c r="J41" s="139"/>
      <c r="K41" s="139"/>
      <c r="L41" s="139"/>
      <c r="M41" s="139"/>
      <c r="N41" s="139"/>
      <c r="O41" s="139"/>
      <c r="P41" s="139"/>
      <c r="Q41" s="139"/>
      <c r="R41" s="139"/>
      <c r="S41" s="140"/>
      <c r="T41" s="139"/>
      <c r="U41" s="139"/>
      <c r="V41" s="139"/>
    </row>
    <row r="42" spans="1:22" ht="18.75">
      <c r="A42" s="255" t="s">
        <v>457</v>
      </c>
      <c r="B42" s="255"/>
      <c r="C42" s="255"/>
      <c r="F42" s="139"/>
      <c r="G42" s="139"/>
      <c r="H42" s="139"/>
      <c r="I42" s="139"/>
      <c r="J42" s="139"/>
      <c r="K42" s="139"/>
      <c r="L42" s="139"/>
      <c r="M42" s="139"/>
      <c r="N42" s="139"/>
      <c r="O42" s="139"/>
      <c r="P42" s="139"/>
      <c r="Q42" s="139"/>
      <c r="R42" s="139"/>
      <c r="S42" s="140"/>
      <c r="T42" s="139"/>
      <c r="U42" s="139"/>
      <c r="V42" s="139"/>
    </row>
    <row r="43" spans="1:22" ht="8.1" customHeight="1" thickBot="1">
      <c r="A43" s="184"/>
      <c r="B43" s="155"/>
      <c r="C43" s="138"/>
      <c r="F43" s="139"/>
      <c r="G43" s="139"/>
      <c r="H43" s="139"/>
      <c r="I43" s="139"/>
      <c r="J43" s="139"/>
      <c r="K43" s="139"/>
      <c r="L43" s="139"/>
      <c r="M43" s="139"/>
      <c r="N43" s="139"/>
      <c r="O43" s="139"/>
      <c r="P43" s="139"/>
      <c r="Q43" s="139"/>
      <c r="R43" s="139"/>
      <c r="S43" s="140"/>
      <c r="T43" s="139"/>
      <c r="U43" s="139"/>
      <c r="V43" s="139"/>
    </row>
    <row r="44" spans="1:22" ht="15.75" thickBot="1">
      <c r="A44" s="256" t="s">
        <v>241</v>
      </c>
      <c r="B44" s="257"/>
      <c r="C44" s="258"/>
      <c r="F44" s="139"/>
      <c r="G44" s="139"/>
      <c r="H44" s="139"/>
      <c r="I44" s="139"/>
      <c r="J44" s="139"/>
      <c r="K44" s="139"/>
      <c r="L44" s="139"/>
      <c r="M44" s="139"/>
      <c r="N44" s="139"/>
      <c r="O44" s="139"/>
      <c r="P44" s="139"/>
      <c r="Q44" s="139"/>
      <c r="R44" s="139"/>
      <c r="S44" s="140"/>
      <c r="T44" s="139"/>
      <c r="U44" s="139"/>
      <c r="V44" s="139"/>
    </row>
    <row r="45" spans="1:22">
      <c r="A45" s="185" t="s">
        <v>388</v>
      </c>
      <c r="B45" s="203">
        <v>5</v>
      </c>
      <c r="C45" s="204" t="s">
        <v>26</v>
      </c>
      <c r="F45" s="139"/>
      <c r="G45" s="139"/>
      <c r="H45" s="139"/>
      <c r="I45" s="139"/>
      <c r="J45" s="139"/>
      <c r="K45" s="139"/>
      <c r="L45" s="139"/>
      <c r="M45" s="139"/>
      <c r="N45" s="139"/>
      <c r="O45" s="139"/>
      <c r="P45" s="139"/>
      <c r="Q45" s="139"/>
      <c r="R45" s="139"/>
      <c r="S45" s="140"/>
      <c r="T45" s="139"/>
      <c r="U45" s="139"/>
      <c r="V45" s="139"/>
    </row>
    <row r="46" spans="1:22">
      <c r="A46" s="171" t="s">
        <v>390</v>
      </c>
      <c r="B46" s="155">
        <f>I_Channel_Peak_Select</f>
        <v>44.30090868794327</v>
      </c>
      <c r="C46" s="144" t="s">
        <v>4</v>
      </c>
      <c r="F46" s="139"/>
      <c r="G46" s="139"/>
      <c r="H46" s="139"/>
      <c r="I46" s="139"/>
      <c r="J46" s="139"/>
      <c r="K46" s="139"/>
      <c r="L46" s="139"/>
      <c r="M46" s="139"/>
      <c r="N46" s="139"/>
      <c r="O46" s="139"/>
      <c r="P46" s="139"/>
      <c r="Q46" s="139"/>
      <c r="R46" s="139"/>
      <c r="S46" s="140"/>
      <c r="T46" s="139"/>
      <c r="U46" s="139"/>
      <c r="V46" s="139"/>
    </row>
    <row r="47" spans="1:22">
      <c r="A47" s="171" t="s">
        <v>389</v>
      </c>
      <c r="B47" s="168">
        <v>44</v>
      </c>
      <c r="C47" s="144" t="s">
        <v>4</v>
      </c>
      <c r="F47" s="139"/>
      <c r="G47" s="139"/>
      <c r="H47" s="139"/>
      <c r="I47" s="139"/>
      <c r="J47" s="139"/>
      <c r="K47" s="139"/>
      <c r="L47" s="139"/>
      <c r="M47" s="139"/>
      <c r="N47" s="139"/>
      <c r="O47" s="139"/>
      <c r="P47" s="139"/>
      <c r="Q47" s="139"/>
      <c r="R47" s="139"/>
      <c r="S47" s="140"/>
      <c r="T47" s="139"/>
      <c r="U47" s="139"/>
      <c r="V47" s="139"/>
    </row>
    <row r="48" spans="1:22" ht="18">
      <c r="A48" s="171" t="s">
        <v>523</v>
      </c>
      <c r="B48" s="155">
        <f>Calculations!B79</f>
        <v>0.88</v>
      </c>
      <c r="C48" s="144" t="s">
        <v>1</v>
      </c>
      <c r="F48" s="139"/>
      <c r="G48" s="139"/>
      <c r="H48" s="139"/>
      <c r="I48" s="139"/>
      <c r="J48" s="139"/>
      <c r="K48" s="139"/>
      <c r="L48" s="139"/>
      <c r="M48" s="139"/>
      <c r="N48" s="139"/>
      <c r="O48" s="139"/>
      <c r="P48" s="139"/>
      <c r="Q48" s="139"/>
      <c r="R48" s="139"/>
      <c r="S48" s="140"/>
      <c r="T48" s="139"/>
      <c r="U48" s="139"/>
      <c r="V48" s="139"/>
    </row>
    <row r="49" spans="1:22" ht="18">
      <c r="A49" s="143" t="s">
        <v>524</v>
      </c>
      <c r="B49" s="138">
        <f>Calculations!B81</f>
        <v>8.7999999999999989</v>
      </c>
      <c r="C49" s="205" t="s">
        <v>95</v>
      </c>
      <c r="F49" s="139"/>
      <c r="G49" s="139"/>
      <c r="H49" s="139"/>
      <c r="I49" s="139"/>
      <c r="J49" s="139"/>
      <c r="K49" s="139"/>
      <c r="L49" s="139"/>
      <c r="M49" s="139"/>
      <c r="N49" s="139"/>
      <c r="O49" s="139"/>
      <c r="P49" s="139"/>
      <c r="Q49" s="139"/>
      <c r="R49" s="139"/>
      <c r="S49" s="140"/>
      <c r="T49" s="139"/>
      <c r="U49" s="139"/>
      <c r="V49" s="139"/>
    </row>
    <row r="50" spans="1:22" ht="18">
      <c r="A50" s="143" t="s">
        <v>525</v>
      </c>
      <c r="B50" s="166">
        <v>10</v>
      </c>
      <c r="C50" s="205" t="s">
        <v>95</v>
      </c>
      <c r="F50" s="139"/>
      <c r="G50" s="139"/>
      <c r="H50" s="139"/>
      <c r="I50" s="139"/>
      <c r="J50" s="139"/>
      <c r="K50" s="139"/>
      <c r="L50" s="139"/>
      <c r="M50" s="139"/>
      <c r="N50" s="139"/>
      <c r="O50" s="139"/>
      <c r="P50" s="139"/>
      <c r="Q50" s="139"/>
      <c r="R50" s="139"/>
      <c r="S50" s="140"/>
      <c r="T50" s="139"/>
      <c r="U50" s="139"/>
      <c r="V50" s="139"/>
    </row>
    <row r="51" spans="1:22" ht="18">
      <c r="A51" s="143" t="s">
        <v>526</v>
      </c>
      <c r="B51" s="150">
        <f>Calculations!B83</f>
        <v>29.772727272727273</v>
      </c>
      <c r="C51" s="205" t="s">
        <v>95</v>
      </c>
      <c r="F51" s="139"/>
      <c r="G51" s="139"/>
      <c r="H51" s="139"/>
      <c r="I51" s="139"/>
      <c r="J51" s="139"/>
      <c r="K51" s="139"/>
      <c r="L51" s="139"/>
      <c r="M51" s="139"/>
      <c r="N51" s="139"/>
      <c r="O51" s="139"/>
      <c r="P51" s="139"/>
      <c r="Q51" s="139"/>
      <c r="R51" s="139"/>
      <c r="S51" s="140"/>
      <c r="T51" s="139"/>
      <c r="U51" s="139"/>
      <c r="V51" s="139"/>
    </row>
    <row r="52" spans="1:22" ht="18">
      <c r="A52" s="143" t="s">
        <v>527</v>
      </c>
      <c r="B52" s="166">
        <v>30.1</v>
      </c>
      <c r="C52" s="205" t="s">
        <v>95</v>
      </c>
      <c r="F52" s="139"/>
      <c r="G52" s="139"/>
      <c r="H52" s="139"/>
      <c r="I52" s="139"/>
      <c r="J52" s="139"/>
      <c r="K52" s="139"/>
      <c r="L52" s="139"/>
      <c r="M52" s="139"/>
      <c r="N52" s="139"/>
      <c r="O52" s="139"/>
      <c r="P52" s="139"/>
      <c r="Q52" s="139"/>
      <c r="R52" s="139"/>
      <c r="S52" s="140"/>
      <c r="T52" s="139"/>
      <c r="U52" s="139"/>
      <c r="V52" s="139"/>
    </row>
    <row r="53" spans="1:22" ht="18">
      <c r="A53" s="143" t="s">
        <v>538</v>
      </c>
      <c r="B53" s="150">
        <f>Calculations!B85</f>
        <v>0.87281795511221938</v>
      </c>
      <c r="C53" s="205" t="s">
        <v>1</v>
      </c>
      <c r="F53" s="139"/>
      <c r="G53" s="139"/>
      <c r="H53" s="139"/>
      <c r="I53" s="139"/>
      <c r="J53" s="139"/>
      <c r="K53" s="139"/>
      <c r="L53" s="139"/>
      <c r="M53" s="139"/>
      <c r="N53" s="139"/>
      <c r="O53" s="139"/>
      <c r="P53" s="139"/>
      <c r="Q53" s="139"/>
      <c r="R53" s="139"/>
      <c r="S53" s="140"/>
      <c r="T53" s="139"/>
      <c r="U53" s="139"/>
      <c r="V53" s="139"/>
    </row>
    <row r="54" spans="1:22" ht="15.75" thickBot="1">
      <c r="A54" s="207" t="s">
        <v>456</v>
      </c>
      <c r="B54" s="154">
        <f>Calculations!B86</f>
        <v>43.640897755610972</v>
      </c>
      <c r="C54" s="206" t="s">
        <v>4</v>
      </c>
      <c r="F54" s="139"/>
      <c r="G54" s="139"/>
      <c r="H54" s="139"/>
      <c r="I54" s="139"/>
      <c r="J54" s="139"/>
      <c r="K54" s="139"/>
      <c r="L54" s="139"/>
      <c r="M54" s="139"/>
      <c r="N54" s="139"/>
      <c r="O54" s="139"/>
      <c r="P54" s="139"/>
      <c r="Q54" s="139"/>
      <c r="R54" s="139"/>
      <c r="S54" s="140"/>
      <c r="T54" s="139"/>
      <c r="U54" s="139"/>
      <c r="V54" s="139"/>
    </row>
    <row r="55" spans="1:22">
      <c r="A55" s="147"/>
      <c r="B55" s="155"/>
      <c r="C55" s="138"/>
      <c r="F55" s="139"/>
      <c r="G55" s="139"/>
      <c r="H55" s="139"/>
      <c r="I55" s="139"/>
      <c r="J55" s="139"/>
      <c r="K55" s="139"/>
      <c r="L55" s="139"/>
      <c r="M55" s="139"/>
      <c r="N55" s="139"/>
      <c r="O55" s="139"/>
      <c r="P55" s="139"/>
      <c r="Q55" s="139"/>
      <c r="R55" s="139"/>
      <c r="S55" s="140"/>
      <c r="T55" s="139"/>
      <c r="U55" s="139"/>
      <c r="V55" s="139"/>
    </row>
    <row r="56" spans="1:22" ht="18.75">
      <c r="A56" s="255" t="s">
        <v>243</v>
      </c>
      <c r="B56" s="255"/>
      <c r="C56" s="255"/>
      <c r="F56" s="139"/>
      <c r="G56" s="139"/>
      <c r="H56" s="139"/>
      <c r="I56" s="139"/>
      <c r="J56" s="139"/>
      <c r="K56" s="139"/>
      <c r="L56" s="139"/>
      <c r="M56" s="139"/>
      <c r="N56" s="139"/>
      <c r="O56" s="139"/>
      <c r="P56" s="139"/>
      <c r="Q56" s="139"/>
      <c r="R56" s="139"/>
      <c r="S56" s="140"/>
      <c r="T56" s="139"/>
      <c r="U56" s="139"/>
      <c r="V56" s="139"/>
    </row>
    <row r="57" spans="1:22" ht="8.1" customHeight="1" thickBot="1">
      <c r="A57" s="147"/>
      <c r="B57" s="155"/>
      <c r="C57" s="138"/>
      <c r="F57" s="139"/>
      <c r="G57" s="139"/>
      <c r="H57" s="139"/>
      <c r="I57" s="139"/>
      <c r="J57" s="139"/>
      <c r="K57" s="139"/>
      <c r="L57" s="139"/>
      <c r="M57" s="139"/>
      <c r="N57" s="139"/>
      <c r="O57" s="139"/>
      <c r="P57" s="139"/>
      <c r="Q57" s="139"/>
      <c r="R57" s="139"/>
      <c r="S57" s="140"/>
      <c r="T57" s="139"/>
      <c r="U57" s="139"/>
      <c r="V57" s="139"/>
    </row>
    <row r="58" spans="1:22" ht="15.75" thickBot="1">
      <c r="A58" s="256" t="s">
        <v>270</v>
      </c>
      <c r="B58" s="257"/>
      <c r="C58" s="258"/>
      <c r="F58" s="139"/>
      <c r="G58" s="139"/>
      <c r="H58" s="139"/>
      <c r="I58" s="139"/>
      <c r="J58" s="139"/>
      <c r="K58" s="139"/>
      <c r="L58" s="139"/>
      <c r="M58" s="139"/>
      <c r="N58" s="139"/>
      <c r="O58" s="139"/>
      <c r="P58" s="139"/>
      <c r="Q58" s="139"/>
      <c r="R58" s="139"/>
      <c r="S58" s="140"/>
      <c r="T58" s="139"/>
      <c r="U58" s="139"/>
      <c r="V58" s="139"/>
    </row>
    <row r="59" spans="1:22" ht="18">
      <c r="A59" s="171" t="s">
        <v>397</v>
      </c>
      <c r="B59" s="166">
        <v>800</v>
      </c>
      <c r="C59" s="156" t="s">
        <v>32</v>
      </c>
      <c r="F59" s="139"/>
      <c r="G59" s="139"/>
      <c r="H59" s="139"/>
      <c r="I59" s="139"/>
      <c r="J59" s="139"/>
      <c r="K59" s="139"/>
      <c r="L59" s="139"/>
      <c r="M59" s="139"/>
      <c r="N59" s="139"/>
      <c r="O59" s="139"/>
      <c r="P59" s="139"/>
      <c r="Q59" s="139"/>
      <c r="R59" s="139"/>
      <c r="S59" s="140"/>
      <c r="T59" s="139"/>
      <c r="U59" s="139"/>
      <c r="V59" s="139"/>
    </row>
    <row r="60" spans="1:22" ht="15.75" thickBot="1">
      <c r="A60" s="177" t="s">
        <v>272</v>
      </c>
      <c r="B60" s="167">
        <v>10</v>
      </c>
      <c r="C60" s="146" t="s">
        <v>7</v>
      </c>
      <c r="F60" s="139"/>
      <c r="G60" s="139"/>
      <c r="H60" s="139"/>
      <c r="I60" s="139"/>
      <c r="J60" s="139"/>
      <c r="K60" s="139"/>
      <c r="L60" s="139"/>
      <c r="M60" s="139"/>
      <c r="N60" s="139"/>
      <c r="O60" s="139"/>
      <c r="P60" s="139"/>
      <c r="Q60" s="139"/>
      <c r="R60" s="139"/>
      <c r="S60" s="140"/>
      <c r="T60" s="139"/>
      <c r="U60" s="139"/>
      <c r="V60" s="139"/>
    </row>
    <row r="61" spans="1:22" ht="15.75" thickBot="1">
      <c r="A61" s="256" t="s">
        <v>271</v>
      </c>
      <c r="B61" s="257"/>
      <c r="C61" s="258"/>
      <c r="F61" s="139"/>
      <c r="G61" s="139"/>
      <c r="H61" s="139"/>
      <c r="I61" s="139"/>
      <c r="J61" s="139"/>
      <c r="K61" s="139"/>
      <c r="L61" s="139"/>
      <c r="M61" s="139"/>
      <c r="N61" s="139"/>
      <c r="O61" s="139"/>
      <c r="P61" s="139"/>
      <c r="Q61" s="139"/>
      <c r="R61" s="139"/>
      <c r="S61" s="140"/>
      <c r="T61" s="139"/>
      <c r="U61" s="139"/>
      <c r="V61" s="139"/>
    </row>
    <row r="62" spans="1:22" ht="18">
      <c r="A62" s="171" t="s">
        <v>398</v>
      </c>
      <c r="B62" s="166">
        <v>600</v>
      </c>
      <c r="C62" s="156" t="s">
        <v>32</v>
      </c>
      <c r="F62" s="139"/>
      <c r="G62" s="139"/>
      <c r="H62" s="139"/>
      <c r="I62" s="139"/>
      <c r="J62" s="139"/>
      <c r="K62" s="139"/>
      <c r="L62" s="139"/>
      <c r="M62" s="139"/>
      <c r="N62" s="139"/>
      <c r="O62" s="139"/>
      <c r="P62" s="139"/>
      <c r="Q62" s="139"/>
      <c r="R62" s="139"/>
      <c r="S62" s="140"/>
      <c r="T62" s="139"/>
      <c r="U62" s="139"/>
      <c r="V62" s="139"/>
    </row>
    <row r="63" spans="1:22" ht="15.75" thickBot="1">
      <c r="A63" s="177" t="s">
        <v>273</v>
      </c>
      <c r="B63" s="167">
        <v>10</v>
      </c>
      <c r="C63" s="146" t="s">
        <v>7</v>
      </c>
      <c r="F63" s="139"/>
      <c r="G63" s="139"/>
      <c r="H63" s="139"/>
      <c r="I63" s="139"/>
      <c r="J63" s="139"/>
      <c r="K63" s="139"/>
      <c r="L63" s="139"/>
      <c r="M63" s="139"/>
      <c r="N63" s="139"/>
      <c r="O63" s="139"/>
      <c r="P63" s="139"/>
      <c r="Q63" s="139"/>
      <c r="R63" s="139"/>
      <c r="S63" s="140"/>
      <c r="T63" s="139"/>
      <c r="U63" s="139"/>
      <c r="V63" s="139"/>
    </row>
    <row r="64" spans="1:22">
      <c r="A64" s="147"/>
      <c r="B64" s="138"/>
      <c r="C64" s="138"/>
      <c r="F64" s="139"/>
      <c r="G64" s="139"/>
      <c r="H64" s="139"/>
      <c r="I64" s="139"/>
      <c r="J64" s="139"/>
      <c r="K64" s="139"/>
      <c r="L64" s="139"/>
      <c r="M64" s="139"/>
      <c r="N64" s="139"/>
      <c r="O64" s="139"/>
      <c r="P64" s="139"/>
      <c r="Q64" s="139"/>
      <c r="R64" s="139"/>
      <c r="S64" s="140"/>
      <c r="T64" s="139"/>
      <c r="U64" s="139"/>
      <c r="V64" s="139"/>
    </row>
    <row r="65" spans="1:22" ht="18.75">
      <c r="A65" s="255" t="s">
        <v>249</v>
      </c>
      <c r="B65" s="255"/>
      <c r="C65" s="255"/>
      <c r="F65" s="139"/>
      <c r="G65" s="139"/>
      <c r="H65" s="139"/>
      <c r="I65" s="139"/>
      <c r="J65" s="139"/>
      <c r="K65" s="139"/>
      <c r="L65" s="139"/>
      <c r="M65" s="139"/>
      <c r="N65" s="139"/>
      <c r="O65" s="139"/>
      <c r="P65" s="139"/>
      <c r="Q65" s="139"/>
      <c r="R65" s="139"/>
      <c r="S65" s="140"/>
      <c r="T65" s="139"/>
      <c r="U65" s="139"/>
      <c r="V65" s="139"/>
    </row>
    <row r="66" spans="1:22" ht="8.1" customHeight="1" thickBot="1">
      <c r="A66" s="147"/>
      <c r="B66" s="138"/>
      <c r="C66" s="138"/>
      <c r="F66" s="139"/>
      <c r="G66" s="139"/>
      <c r="H66" s="139"/>
      <c r="I66" s="139"/>
      <c r="J66" s="139"/>
      <c r="K66" s="139"/>
      <c r="L66" s="139"/>
      <c r="M66" s="139"/>
      <c r="N66" s="139"/>
      <c r="O66" s="139"/>
      <c r="P66" s="139"/>
      <c r="Q66" s="139"/>
      <c r="R66" s="139"/>
      <c r="S66" s="140"/>
      <c r="T66" s="139"/>
      <c r="U66" s="139"/>
      <c r="V66" s="139"/>
    </row>
    <row r="67" spans="1:22" ht="15.75" thickBot="1">
      <c r="A67" s="219" t="s">
        <v>477</v>
      </c>
      <c r="B67" s="264" t="s">
        <v>473</v>
      </c>
      <c r="C67" s="265"/>
      <c r="F67" s="139"/>
      <c r="G67" s="139"/>
      <c r="H67" s="139"/>
      <c r="I67" s="139"/>
      <c r="J67" s="139"/>
      <c r="K67" s="139"/>
      <c r="L67" s="139"/>
      <c r="M67" s="139"/>
      <c r="N67" s="139"/>
      <c r="O67" s="139"/>
      <c r="P67" s="139"/>
      <c r="Q67" s="139"/>
      <c r="R67" s="139"/>
      <c r="S67" s="140"/>
      <c r="T67" s="139"/>
      <c r="U67" s="139"/>
      <c r="V67" s="139"/>
    </row>
    <row r="68" spans="1:22" ht="15.75" thickBot="1">
      <c r="A68" s="261" t="s">
        <v>459</v>
      </c>
      <c r="B68" s="262"/>
      <c r="C68" s="263"/>
      <c r="F68" s="139"/>
      <c r="G68" s="139"/>
      <c r="H68" s="139"/>
      <c r="I68" s="139"/>
      <c r="J68" s="139"/>
      <c r="K68" s="139"/>
      <c r="L68" s="139"/>
      <c r="M68" s="139"/>
      <c r="N68" s="139"/>
      <c r="O68" s="139"/>
      <c r="P68" s="139"/>
      <c r="Q68" s="139"/>
      <c r="R68" s="139"/>
      <c r="S68" s="140"/>
      <c r="T68" s="139"/>
      <c r="U68" s="139"/>
      <c r="V68" s="139"/>
    </row>
    <row r="69" spans="1:22">
      <c r="A69" s="208" t="s">
        <v>460</v>
      </c>
      <c r="B69" s="169">
        <v>4</v>
      </c>
      <c r="C69" s="157" t="s">
        <v>103</v>
      </c>
      <c r="F69" s="139"/>
      <c r="G69" s="139"/>
      <c r="H69" s="139"/>
      <c r="I69" s="139"/>
      <c r="J69" s="139"/>
      <c r="K69" s="139"/>
      <c r="L69" s="139"/>
      <c r="M69" s="139"/>
      <c r="N69" s="139"/>
      <c r="O69" s="139"/>
      <c r="P69" s="139"/>
      <c r="Q69" s="139"/>
      <c r="R69" s="139"/>
      <c r="S69" s="140"/>
      <c r="T69" s="139"/>
      <c r="U69" s="139"/>
      <c r="V69" s="139"/>
    </row>
    <row r="70" spans="1:22" ht="18">
      <c r="A70" s="171" t="s">
        <v>521</v>
      </c>
      <c r="B70" s="166">
        <v>2</v>
      </c>
      <c r="C70" s="144" t="s">
        <v>1</v>
      </c>
      <c r="F70" s="139"/>
      <c r="G70" s="139"/>
      <c r="H70" s="139"/>
      <c r="I70" s="139"/>
      <c r="J70" s="139"/>
      <c r="K70" s="139"/>
      <c r="L70" s="139"/>
      <c r="M70" s="139"/>
      <c r="N70" s="139"/>
      <c r="O70" s="139"/>
      <c r="P70" s="139"/>
      <c r="Q70" s="139"/>
      <c r="R70" s="139"/>
      <c r="S70" s="140"/>
      <c r="T70" s="139"/>
      <c r="U70" s="139"/>
      <c r="V70" s="139"/>
    </row>
    <row r="71" spans="1:22" ht="18.75" thickBot="1">
      <c r="A71" s="143" t="s">
        <v>528</v>
      </c>
      <c r="B71" s="138">
        <f>Calculations!B94</f>
        <v>20</v>
      </c>
      <c r="C71" s="205" t="s">
        <v>95</v>
      </c>
      <c r="F71" s="139"/>
      <c r="G71" s="139"/>
      <c r="H71" s="139"/>
      <c r="I71" s="139"/>
      <c r="J71" s="139"/>
      <c r="K71" s="139"/>
      <c r="L71" s="139"/>
      <c r="M71" s="139"/>
      <c r="N71" s="139"/>
      <c r="O71" s="139"/>
      <c r="P71" s="139"/>
      <c r="Q71" s="139"/>
      <c r="R71" s="139"/>
      <c r="S71" s="140"/>
      <c r="T71" s="139"/>
      <c r="U71" s="139"/>
      <c r="V71" s="139"/>
    </row>
    <row r="72" spans="1:22" ht="18.75" thickBot="1">
      <c r="A72" s="143" t="s">
        <v>529</v>
      </c>
      <c r="B72" s="166">
        <v>20</v>
      </c>
      <c r="C72" s="205" t="s">
        <v>95</v>
      </c>
      <c r="P72" s="253" t="s">
        <v>286</v>
      </c>
      <c r="Q72" s="254"/>
    </row>
    <row r="73" spans="1:22" ht="18">
      <c r="A73" s="143" t="s">
        <v>531</v>
      </c>
      <c r="B73" s="138">
        <f>Calculations!B96</f>
        <v>15</v>
      </c>
      <c r="C73" s="205" t="s">
        <v>95</v>
      </c>
    </row>
    <row r="74" spans="1:22" ht="18">
      <c r="A74" s="143" t="s">
        <v>530</v>
      </c>
      <c r="B74" s="166">
        <v>15</v>
      </c>
      <c r="C74" s="205" t="s">
        <v>95</v>
      </c>
    </row>
    <row r="75" spans="1:22" ht="18">
      <c r="A75" s="143" t="s">
        <v>536</v>
      </c>
      <c r="B75" s="138">
        <f>Calculations!B98</f>
        <v>2</v>
      </c>
      <c r="C75" s="205" t="s">
        <v>1</v>
      </c>
    </row>
    <row r="76" spans="1:22" ht="18">
      <c r="A76" s="143" t="s">
        <v>532</v>
      </c>
      <c r="B76" s="237">
        <f>Calculations!B99</f>
        <v>0.23333333333333334</v>
      </c>
      <c r="C76" s="144" t="s">
        <v>32</v>
      </c>
    </row>
    <row r="77" spans="1:22" ht="18">
      <c r="A77" s="143" t="s">
        <v>533</v>
      </c>
      <c r="B77" s="166">
        <v>0.22</v>
      </c>
      <c r="C77" s="144" t="s">
        <v>32</v>
      </c>
    </row>
    <row r="78" spans="1:22" ht="15.75" thickBot="1">
      <c r="A78" s="145" t="s">
        <v>537</v>
      </c>
      <c r="B78" s="238">
        <f>Calculations!B101</f>
        <v>3.7714285714285714</v>
      </c>
      <c r="C78" s="146" t="s">
        <v>103</v>
      </c>
      <c r="E78"/>
    </row>
    <row r="79" spans="1:22" ht="15.75" thickBot="1">
      <c r="A79" s="256" t="s">
        <v>461</v>
      </c>
      <c r="B79" s="257"/>
      <c r="C79" s="258"/>
    </row>
    <row r="80" spans="1:22">
      <c r="A80" s="143" t="s">
        <v>534</v>
      </c>
      <c r="B80" s="166">
        <v>1</v>
      </c>
      <c r="C80" s="144" t="s">
        <v>103</v>
      </c>
    </row>
    <row r="81" spans="1:22" ht="18">
      <c r="A81" s="143" t="s">
        <v>476</v>
      </c>
      <c r="B81" s="150">
        <f>Calculations!B106</f>
        <v>0.1</v>
      </c>
      <c r="C81" s="144" t="s">
        <v>40</v>
      </c>
    </row>
    <row r="82" spans="1:22" ht="18">
      <c r="A82" s="143" t="s">
        <v>471</v>
      </c>
      <c r="B82" s="166">
        <v>0.1</v>
      </c>
      <c r="C82" s="144" t="s">
        <v>40</v>
      </c>
    </row>
    <row r="83" spans="1:22" ht="15.75" thickBot="1">
      <c r="A83" s="145" t="s">
        <v>535</v>
      </c>
      <c r="B83" s="238">
        <f>Calculations!B108</f>
        <v>4.2000000000000015E-3</v>
      </c>
      <c r="C83" s="146" t="s">
        <v>103</v>
      </c>
    </row>
    <row r="84" spans="1:22">
      <c r="A84" s="147"/>
      <c r="B84" s="138"/>
      <c r="C84" s="138"/>
    </row>
    <row r="85" spans="1:22" ht="18.75">
      <c r="A85" s="255" t="s">
        <v>346</v>
      </c>
      <c r="B85" s="255"/>
      <c r="C85" s="255"/>
    </row>
    <row r="86" spans="1:22" ht="8.1" customHeight="1" thickBot="1">
      <c r="E86" s="139"/>
      <c r="F86" s="139"/>
      <c r="G86" s="139"/>
      <c r="H86" s="139"/>
      <c r="I86" s="139"/>
      <c r="J86" s="139"/>
      <c r="K86" s="139"/>
      <c r="L86" s="139"/>
      <c r="M86" s="139"/>
      <c r="N86" s="139"/>
      <c r="O86" s="139"/>
      <c r="P86" s="139"/>
      <c r="Q86" s="139"/>
      <c r="R86" s="139"/>
      <c r="S86" s="140"/>
    </row>
    <row r="87" spans="1:22" ht="15.75" thickBot="1">
      <c r="A87" s="256" t="s">
        <v>102</v>
      </c>
      <c r="B87" s="257"/>
      <c r="C87" s="258"/>
      <c r="E87" s="139"/>
      <c r="F87" s="139"/>
      <c r="G87" s="139"/>
      <c r="H87" s="139"/>
      <c r="I87" s="139"/>
      <c r="J87" s="139"/>
      <c r="K87" s="139"/>
      <c r="L87" s="139"/>
      <c r="M87" s="139"/>
      <c r="N87" s="139"/>
      <c r="O87" s="139"/>
      <c r="P87" s="139"/>
      <c r="Q87" s="139"/>
      <c r="R87" s="139"/>
      <c r="S87" s="140"/>
    </row>
    <row r="88" spans="1:22">
      <c r="A88" s="143" t="s">
        <v>106</v>
      </c>
      <c r="B88" s="259" t="s">
        <v>147</v>
      </c>
      <c r="C88" s="260"/>
      <c r="E88" s="139"/>
      <c r="F88" s="250" t="s">
        <v>429</v>
      </c>
      <c r="G88" s="250"/>
      <c r="H88" s="250"/>
      <c r="I88" s="139"/>
      <c r="J88" s="139"/>
      <c r="K88" s="250" t="s">
        <v>430</v>
      </c>
      <c r="L88" s="250"/>
      <c r="M88" s="250"/>
      <c r="N88" s="139"/>
      <c r="O88" s="139"/>
      <c r="P88" s="139"/>
      <c r="Q88" s="250" t="s">
        <v>431</v>
      </c>
      <c r="R88" s="250"/>
      <c r="S88" s="140"/>
      <c r="V88" s="159"/>
    </row>
    <row r="89" spans="1:22">
      <c r="A89" s="143" t="s">
        <v>259</v>
      </c>
      <c r="B89" s="166">
        <v>7.5</v>
      </c>
      <c r="C89" s="144" t="s">
        <v>1</v>
      </c>
      <c r="E89" s="139"/>
      <c r="F89" s="139"/>
      <c r="G89" s="139"/>
      <c r="H89" s="139"/>
      <c r="I89" s="139"/>
      <c r="J89" s="139"/>
      <c r="K89" s="139"/>
      <c r="L89" s="139"/>
      <c r="M89" s="139"/>
      <c r="N89" s="139"/>
      <c r="O89" s="139"/>
      <c r="P89" s="139"/>
      <c r="Q89" s="139"/>
      <c r="R89" s="139"/>
      <c r="S89" s="140"/>
      <c r="V89" s="159"/>
    </row>
    <row r="90" spans="1:22" ht="18">
      <c r="A90" s="143" t="s">
        <v>251</v>
      </c>
      <c r="B90" s="166">
        <v>49.9</v>
      </c>
      <c r="C90" s="144" t="s">
        <v>95</v>
      </c>
      <c r="E90" s="139"/>
      <c r="F90" s="139"/>
      <c r="G90" s="139"/>
      <c r="H90" s="139"/>
      <c r="I90" s="139"/>
      <c r="J90" s="139"/>
      <c r="K90" s="139"/>
      <c r="L90" s="139"/>
      <c r="M90" s="139"/>
      <c r="N90" s="139"/>
      <c r="O90" s="139"/>
      <c r="P90" s="139"/>
      <c r="Q90" s="139"/>
      <c r="R90" s="139"/>
      <c r="S90" s="140"/>
      <c r="V90" s="159"/>
    </row>
    <row r="91" spans="1:22" ht="18">
      <c r="A91" s="143" t="s">
        <v>347</v>
      </c>
      <c r="B91" s="161">
        <f>Calculations!B118</f>
        <v>99.8</v>
      </c>
      <c r="C91" s="144" t="s">
        <v>95</v>
      </c>
      <c r="E91" s="139"/>
      <c r="F91" s="139"/>
      <c r="G91" s="139"/>
      <c r="H91" s="139"/>
      <c r="I91" s="139"/>
      <c r="J91" s="139"/>
      <c r="K91" s="139"/>
      <c r="L91" s="139"/>
      <c r="M91" s="139"/>
      <c r="N91" s="139"/>
      <c r="O91" s="139"/>
      <c r="P91" s="139"/>
      <c r="Q91" s="139"/>
      <c r="R91" s="139"/>
      <c r="S91" s="140"/>
      <c r="V91" s="159"/>
    </row>
    <row r="92" spans="1:22" ht="18">
      <c r="A92" s="143" t="s">
        <v>252</v>
      </c>
      <c r="B92" s="166">
        <v>100</v>
      </c>
      <c r="C92" s="144" t="s">
        <v>95</v>
      </c>
      <c r="E92" s="139"/>
      <c r="F92" s="139"/>
      <c r="G92" s="139"/>
      <c r="H92" s="139"/>
      <c r="I92" s="139"/>
      <c r="J92" s="139"/>
      <c r="K92" s="139"/>
      <c r="L92" s="139"/>
      <c r="M92" s="139"/>
      <c r="N92" s="139"/>
      <c r="O92" s="139"/>
      <c r="P92" s="139"/>
      <c r="Q92" s="139"/>
      <c r="R92" s="139"/>
      <c r="S92" s="140"/>
      <c r="V92" s="159"/>
    </row>
    <row r="93" spans="1:22">
      <c r="A93" s="143" t="s">
        <v>257</v>
      </c>
      <c r="B93" s="251" t="s">
        <v>480</v>
      </c>
      <c r="C93" s="252"/>
      <c r="E93" s="139"/>
      <c r="F93" s="139"/>
      <c r="G93" s="139"/>
      <c r="H93" s="139"/>
      <c r="I93" s="139"/>
      <c r="J93" s="139"/>
      <c r="K93" s="139"/>
      <c r="L93" s="139"/>
      <c r="M93" s="139"/>
      <c r="N93" s="139"/>
      <c r="O93" s="139"/>
      <c r="P93" s="139"/>
      <c r="Q93" s="139"/>
      <c r="R93" s="139"/>
      <c r="S93" s="140"/>
      <c r="T93" s="162"/>
      <c r="U93" s="163"/>
    </row>
    <row r="94" spans="1:22">
      <c r="A94" s="143" t="s">
        <v>201</v>
      </c>
      <c r="B94" s="166">
        <v>4</v>
      </c>
      <c r="C94" s="144" t="s">
        <v>1</v>
      </c>
      <c r="E94" s="139"/>
      <c r="F94" s="139"/>
      <c r="G94" s="139"/>
      <c r="H94" s="139"/>
      <c r="I94" s="139"/>
      <c r="J94" s="139"/>
      <c r="K94" s="139"/>
      <c r="L94" s="139"/>
      <c r="M94" s="139"/>
      <c r="N94" s="139"/>
      <c r="O94" s="139"/>
      <c r="P94" s="139"/>
      <c r="Q94" s="139"/>
      <c r="R94" s="139"/>
      <c r="S94" s="140"/>
    </row>
    <row r="95" spans="1:22" ht="18">
      <c r="A95" s="143" t="s">
        <v>254</v>
      </c>
      <c r="B95" s="150">
        <f>Calculations!B122</f>
        <v>19.973315543695797</v>
      </c>
      <c r="C95" s="144" t="s">
        <v>95</v>
      </c>
      <c r="E95" s="139"/>
      <c r="F95" s="139"/>
      <c r="G95" s="139"/>
      <c r="H95" s="139"/>
      <c r="I95" s="139"/>
      <c r="J95" s="139"/>
      <c r="K95" s="139"/>
      <c r="L95" s="139"/>
      <c r="M95" s="139"/>
      <c r="N95" s="139"/>
      <c r="O95" s="139"/>
      <c r="P95" s="139"/>
      <c r="Q95" s="139"/>
      <c r="R95" s="139"/>
      <c r="S95" s="140"/>
    </row>
    <row r="96" spans="1:22" ht="18">
      <c r="A96" s="143" t="s">
        <v>255</v>
      </c>
      <c r="B96" s="166">
        <v>20</v>
      </c>
      <c r="C96" s="144" t="s">
        <v>95</v>
      </c>
      <c r="E96" s="139"/>
      <c r="F96" s="139"/>
      <c r="G96" s="139"/>
      <c r="H96" s="139"/>
      <c r="I96" s="139"/>
      <c r="J96" s="139"/>
      <c r="K96" s="139"/>
      <c r="L96" s="139"/>
      <c r="M96" s="139"/>
      <c r="N96" s="139"/>
      <c r="O96" s="139"/>
      <c r="P96" s="139"/>
      <c r="Q96" s="139"/>
      <c r="R96" s="139"/>
      <c r="S96" s="140"/>
    </row>
    <row r="97" spans="1:19">
      <c r="A97" s="143" t="s">
        <v>256</v>
      </c>
      <c r="B97" s="155">
        <f>Calculations!B124</f>
        <v>2.4999999999999996</v>
      </c>
      <c r="C97" s="144" t="s">
        <v>1</v>
      </c>
      <c r="E97" s="139"/>
      <c r="F97" s="139"/>
      <c r="G97" s="139"/>
      <c r="H97" s="139"/>
      <c r="I97" s="139"/>
      <c r="J97" s="139"/>
      <c r="K97" s="139"/>
      <c r="L97" s="139"/>
      <c r="M97" s="139"/>
      <c r="N97" s="139"/>
      <c r="O97" s="139"/>
      <c r="P97" s="139"/>
      <c r="Q97" s="139"/>
      <c r="R97" s="139"/>
      <c r="S97" s="140"/>
    </row>
    <row r="98" spans="1:19">
      <c r="A98" s="143" t="s">
        <v>258</v>
      </c>
      <c r="B98" s="161">
        <f>Calculations!B125</f>
        <v>7.5100200400801604</v>
      </c>
      <c r="C98" s="144" t="s">
        <v>1</v>
      </c>
      <c r="E98" s="139"/>
      <c r="F98" s="139"/>
      <c r="G98" s="139"/>
      <c r="H98" s="139"/>
      <c r="I98" s="139"/>
      <c r="J98" s="139"/>
      <c r="K98" s="139"/>
      <c r="L98" s="164"/>
      <c r="M98" s="139"/>
      <c r="N98" s="139"/>
      <c r="O98" s="139"/>
      <c r="P98" s="139"/>
      <c r="Q98" s="139"/>
      <c r="R98" s="139"/>
      <c r="S98" s="140"/>
    </row>
    <row r="99" spans="1:19">
      <c r="A99" s="143" t="s">
        <v>260</v>
      </c>
      <c r="B99" s="161">
        <f>Calculations!B126</f>
        <v>5.0100200400801604</v>
      </c>
      <c r="C99" s="144" t="s">
        <v>1</v>
      </c>
      <c r="E99" s="139"/>
      <c r="F99" s="139"/>
      <c r="G99" s="139"/>
      <c r="H99" s="139"/>
      <c r="I99" s="139"/>
      <c r="J99" s="139"/>
      <c r="K99" s="139"/>
      <c r="L99" s="164"/>
      <c r="M99" s="139"/>
      <c r="N99" s="139"/>
      <c r="O99" s="139"/>
      <c r="P99" s="139"/>
      <c r="Q99" s="139"/>
      <c r="R99" s="139"/>
      <c r="S99" s="140"/>
    </row>
    <row r="100" spans="1:19" ht="15.75" thickBot="1">
      <c r="A100" s="230" t="s">
        <v>152</v>
      </c>
      <c r="B100" s="165">
        <f>Calculations!B127</f>
        <v>3.7550100200400802</v>
      </c>
      <c r="C100" s="146" t="s">
        <v>1</v>
      </c>
      <c r="E100" s="139"/>
      <c r="F100" s="139"/>
      <c r="G100" s="139"/>
      <c r="H100" s="139"/>
      <c r="I100" s="139"/>
      <c r="J100" s="139"/>
      <c r="K100" s="139"/>
      <c r="L100" s="164"/>
      <c r="M100" s="139"/>
      <c r="N100" s="139"/>
      <c r="O100" s="139"/>
      <c r="P100" s="139"/>
      <c r="Q100" s="139"/>
      <c r="R100" s="139"/>
      <c r="S100" s="140"/>
    </row>
    <row r="101" spans="1:19">
      <c r="A101" s="147"/>
      <c r="B101" s="161"/>
      <c r="C101" s="138"/>
      <c r="E101" s="139"/>
      <c r="F101" s="139"/>
      <c r="G101" s="139"/>
      <c r="H101" s="139"/>
      <c r="I101" s="139"/>
      <c r="J101" s="139"/>
      <c r="K101" s="139"/>
      <c r="L101" s="164"/>
      <c r="M101" s="139"/>
      <c r="N101" s="139"/>
      <c r="O101" s="139"/>
      <c r="P101" s="139"/>
      <c r="Q101" s="139"/>
      <c r="R101" s="139"/>
      <c r="S101" s="140"/>
    </row>
    <row r="102" spans="1:19" ht="18.75">
      <c r="A102" s="255" t="s">
        <v>489</v>
      </c>
      <c r="B102" s="255"/>
      <c r="C102" s="255"/>
      <c r="E102" s="139"/>
      <c r="F102" s="139"/>
      <c r="G102" s="139"/>
      <c r="H102" s="139"/>
      <c r="I102" s="139"/>
      <c r="J102" s="139"/>
      <c r="K102" s="139"/>
      <c r="L102" s="164"/>
      <c r="M102" s="139"/>
      <c r="N102" s="139"/>
      <c r="O102" s="139"/>
      <c r="P102" s="139"/>
      <c r="Q102" s="139"/>
      <c r="R102" s="139"/>
      <c r="S102" s="140"/>
    </row>
    <row r="103" spans="1:19" ht="7.9" customHeight="1" thickBot="1">
      <c r="A103" s="147"/>
      <c r="B103" s="155"/>
      <c r="C103" s="138"/>
      <c r="E103" s="139"/>
      <c r="F103" s="139"/>
      <c r="G103" s="139"/>
      <c r="H103" s="139"/>
      <c r="I103" s="139"/>
      <c r="J103" s="139"/>
      <c r="K103" s="139"/>
      <c r="L103" s="164"/>
      <c r="M103" s="139"/>
      <c r="N103" s="139"/>
      <c r="O103" s="139"/>
      <c r="P103" s="139"/>
      <c r="Q103" s="139"/>
      <c r="R103" s="139"/>
      <c r="S103" s="140"/>
    </row>
    <row r="104" spans="1:19" ht="15.75" thickBot="1">
      <c r="A104" s="261" t="s">
        <v>490</v>
      </c>
      <c r="B104" s="262"/>
      <c r="C104" s="263"/>
      <c r="E104" s="139"/>
      <c r="F104" s="139"/>
      <c r="G104" s="139"/>
      <c r="H104" s="139"/>
      <c r="I104" s="139"/>
      <c r="J104" s="139"/>
      <c r="K104" s="139"/>
      <c r="L104" s="164"/>
      <c r="M104" s="139"/>
      <c r="N104" s="139"/>
      <c r="O104" s="139"/>
      <c r="P104" s="139"/>
      <c r="Q104" s="139"/>
      <c r="R104" s="139"/>
      <c r="S104" s="140"/>
    </row>
    <row r="105" spans="1:19">
      <c r="A105" s="208" t="s">
        <v>540</v>
      </c>
      <c r="B105" s="169">
        <v>24</v>
      </c>
      <c r="C105" s="233" t="s">
        <v>1</v>
      </c>
      <c r="E105" s="139"/>
      <c r="F105" s="139"/>
      <c r="G105" s="139"/>
      <c r="H105" s="139"/>
      <c r="I105" s="139"/>
      <c r="J105" s="139"/>
      <c r="K105" s="139"/>
      <c r="L105" s="164"/>
      <c r="M105" s="139"/>
      <c r="N105" s="139"/>
      <c r="O105" s="139"/>
      <c r="P105" s="139"/>
      <c r="Q105" s="139"/>
      <c r="R105" s="139"/>
      <c r="S105" s="140"/>
    </row>
    <row r="106" spans="1:19" ht="18">
      <c r="A106" s="143" t="s">
        <v>539</v>
      </c>
      <c r="B106" s="138">
        <f>Calculations!B131</f>
        <v>1</v>
      </c>
      <c r="C106" s="231" t="s">
        <v>95</v>
      </c>
      <c r="E106" s="139"/>
      <c r="F106" s="139"/>
      <c r="G106" s="139"/>
      <c r="H106" s="139"/>
      <c r="I106" s="139"/>
      <c r="J106" s="139"/>
      <c r="K106" s="139"/>
      <c r="L106" s="164"/>
      <c r="M106" s="139"/>
      <c r="N106" s="139"/>
      <c r="O106" s="139"/>
      <c r="P106" s="139"/>
      <c r="Q106" s="139"/>
      <c r="R106" s="139"/>
      <c r="S106" s="140"/>
    </row>
    <row r="107" spans="1:19" ht="18">
      <c r="A107" s="143" t="s">
        <v>546</v>
      </c>
      <c r="B107" s="166">
        <v>1</v>
      </c>
      <c r="C107" s="231" t="s">
        <v>95</v>
      </c>
      <c r="E107" s="139"/>
      <c r="F107" s="139"/>
      <c r="G107" s="139"/>
      <c r="H107" s="139"/>
      <c r="I107" s="139"/>
      <c r="J107" s="139"/>
      <c r="K107" s="139"/>
      <c r="L107" s="164"/>
      <c r="M107" s="139"/>
      <c r="N107" s="139"/>
      <c r="O107" s="139"/>
      <c r="P107" s="139"/>
      <c r="Q107" s="139"/>
      <c r="R107" s="139"/>
      <c r="S107" s="140"/>
    </row>
    <row r="108" spans="1:19" ht="18">
      <c r="A108" s="143" t="s">
        <v>547</v>
      </c>
      <c r="B108" s="138">
        <f>Calculations!B133</f>
        <v>23</v>
      </c>
      <c r="C108" s="231" t="s">
        <v>95</v>
      </c>
      <c r="E108" s="139"/>
      <c r="F108" s="164"/>
      <c r="G108" s="164"/>
      <c r="H108" s="164"/>
      <c r="I108" s="164"/>
      <c r="J108" s="164"/>
      <c r="K108" s="164"/>
      <c r="L108" s="164"/>
      <c r="M108" s="139"/>
      <c r="N108" s="139"/>
      <c r="O108" s="139"/>
      <c r="P108" s="139"/>
      <c r="Q108" s="139"/>
      <c r="R108" s="139"/>
      <c r="S108" s="140"/>
    </row>
    <row r="109" spans="1:19" ht="18">
      <c r="A109" s="143" t="s">
        <v>548</v>
      </c>
      <c r="B109" s="166">
        <v>23</v>
      </c>
      <c r="C109" s="231" t="s">
        <v>95</v>
      </c>
      <c r="E109" s="139"/>
      <c r="F109" s="164"/>
      <c r="G109" s="164"/>
      <c r="H109" s="164"/>
      <c r="I109" s="164"/>
      <c r="J109" s="164"/>
      <c r="K109" s="164"/>
      <c r="L109" s="164"/>
      <c r="M109" s="139"/>
      <c r="N109" s="139"/>
      <c r="O109" s="139"/>
      <c r="P109" s="139"/>
      <c r="Q109" s="139"/>
      <c r="R109" s="139"/>
      <c r="S109" s="140"/>
    </row>
    <row r="110" spans="1:19" ht="15.75" thickBot="1">
      <c r="A110" s="145" t="s">
        <v>541</v>
      </c>
      <c r="B110" s="149">
        <f>Calculations!B135</f>
        <v>24</v>
      </c>
      <c r="C110" s="232" t="s">
        <v>1</v>
      </c>
      <c r="E110" s="139"/>
      <c r="F110" s="164"/>
      <c r="G110" s="164"/>
      <c r="H110" s="164"/>
      <c r="I110" s="164"/>
      <c r="J110" s="164"/>
      <c r="K110" s="164"/>
      <c r="L110" s="164"/>
      <c r="M110" s="139"/>
      <c r="N110" s="139"/>
      <c r="O110" s="139"/>
      <c r="P110" s="139"/>
      <c r="Q110" s="139"/>
      <c r="R110" s="139"/>
      <c r="S110" s="140"/>
    </row>
    <row r="111" spans="1:19">
      <c r="A111" s="228"/>
      <c r="B111" s="148"/>
      <c r="C111" s="138"/>
      <c r="E111" s="139"/>
      <c r="F111" s="164"/>
      <c r="G111" s="164"/>
      <c r="H111" s="164"/>
      <c r="I111" s="164"/>
      <c r="J111" s="164"/>
      <c r="K111" s="164"/>
      <c r="L111" s="164"/>
      <c r="M111" s="139"/>
      <c r="N111" s="139"/>
      <c r="O111" s="139"/>
      <c r="P111" s="139"/>
      <c r="Q111" s="139"/>
      <c r="R111" s="139"/>
      <c r="S111" s="140"/>
    </row>
    <row r="112" spans="1:19">
      <c r="A112" s="228"/>
      <c r="B112" s="138"/>
      <c r="C112" s="138"/>
      <c r="E112" s="139"/>
      <c r="F112" s="164"/>
      <c r="G112" s="164"/>
      <c r="H112" s="164"/>
      <c r="I112" s="164"/>
      <c r="J112" s="164"/>
      <c r="K112" s="164"/>
      <c r="L112" s="164"/>
      <c r="M112" s="139"/>
      <c r="N112" s="139"/>
      <c r="O112" s="139"/>
      <c r="P112" s="139"/>
      <c r="Q112" s="139"/>
      <c r="R112" s="139"/>
      <c r="S112" s="140"/>
    </row>
    <row r="113" spans="1:20" ht="18.75">
      <c r="A113" s="255" t="s">
        <v>513</v>
      </c>
      <c r="B113" s="255"/>
      <c r="C113" s="255"/>
      <c r="E113" s="139"/>
      <c r="F113" s="164"/>
      <c r="G113" s="164"/>
      <c r="H113" s="164"/>
      <c r="I113" s="164"/>
      <c r="J113" s="164"/>
      <c r="K113" s="164"/>
      <c r="L113" s="164"/>
      <c r="M113" s="139"/>
      <c r="N113" s="139"/>
      <c r="O113" s="139"/>
      <c r="P113" s="139"/>
      <c r="Q113" s="139"/>
      <c r="R113" s="139"/>
      <c r="S113" s="140"/>
    </row>
    <row r="114" spans="1:20" ht="8.1" customHeight="1" thickBot="1">
      <c r="E114" s="139"/>
      <c r="F114" s="164"/>
      <c r="G114" s="164"/>
      <c r="H114" s="164"/>
      <c r="I114" s="164"/>
      <c r="J114" s="164"/>
      <c r="K114" s="164"/>
      <c r="L114" s="164"/>
      <c r="M114" s="139"/>
      <c r="N114" s="139"/>
      <c r="O114" s="139"/>
      <c r="P114" s="139"/>
      <c r="Q114" s="139"/>
      <c r="R114" s="139"/>
      <c r="S114" s="140"/>
    </row>
    <row r="115" spans="1:20" ht="15.75" thickBot="1">
      <c r="A115" s="256" t="s">
        <v>432</v>
      </c>
      <c r="B115" s="257"/>
      <c r="C115" s="258"/>
      <c r="E115" s="139"/>
      <c r="F115" s="139"/>
      <c r="G115" s="139"/>
      <c r="H115" s="139"/>
      <c r="I115" s="139"/>
      <c r="J115" s="139"/>
      <c r="K115" s="139"/>
      <c r="L115" s="139"/>
      <c r="M115" s="139"/>
      <c r="N115" s="139"/>
      <c r="O115" s="139"/>
      <c r="P115" s="139"/>
      <c r="Q115" s="139"/>
      <c r="R115" s="139"/>
      <c r="S115" s="140"/>
    </row>
    <row r="116" spans="1:20" ht="18">
      <c r="A116" s="143" t="s">
        <v>569</v>
      </c>
      <c r="B116" s="166">
        <v>3</v>
      </c>
      <c r="C116" s="144" t="s">
        <v>1</v>
      </c>
      <c r="E116" s="139"/>
      <c r="F116" s="139"/>
      <c r="G116" s="139"/>
      <c r="H116" s="139"/>
      <c r="I116" s="139"/>
      <c r="J116" s="139"/>
      <c r="K116" s="139"/>
      <c r="L116" s="139"/>
      <c r="M116" s="139"/>
      <c r="N116" s="139"/>
      <c r="O116" s="139"/>
      <c r="P116" s="139"/>
      <c r="Q116" s="139"/>
      <c r="R116" s="139"/>
      <c r="S116" s="140"/>
    </row>
    <row r="117" spans="1:20" ht="18">
      <c r="A117" s="143" t="s">
        <v>434</v>
      </c>
      <c r="B117" s="155">
        <f>Calculations!B140</f>
        <v>19.999999999999996</v>
      </c>
      <c r="C117" s="144" t="s">
        <v>95</v>
      </c>
      <c r="E117" s="139"/>
      <c r="F117" s="139"/>
      <c r="G117" s="139"/>
      <c r="H117" s="139"/>
      <c r="I117" s="139"/>
      <c r="J117" s="139"/>
      <c r="K117" s="139"/>
      <c r="L117" s="139"/>
      <c r="M117" s="139"/>
      <c r="N117" s="139"/>
      <c r="O117" s="139"/>
      <c r="P117" s="139"/>
      <c r="Q117" s="139"/>
      <c r="R117" s="139"/>
      <c r="S117" s="140"/>
    </row>
    <row r="118" spans="1:20" ht="18">
      <c r="A118" s="143" t="s">
        <v>435</v>
      </c>
      <c r="B118" s="166">
        <v>20</v>
      </c>
      <c r="C118" s="144" t="s">
        <v>95</v>
      </c>
      <c r="E118" s="139"/>
      <c r="F118" s="139"/>
      <c r="G118" s="139"/>
      <c r="H118" s="139"/>
      <c r="I118" s="139"/>
      <c r="J118" s="139"/>
      <c r="K118" s="139"/>
      <c r="L118" s="139"/>
      <c r="M118" s="139"/>
      <c r="N118" s="139"/>
      <c r="O118" s="139"/>
      <c r="P118" s="139"/>
      <c r="Q118" s="139"/>
      <c r="R118" s="139"/>
      <c r="S118" s="140"/>
    </row>
    <row r="119" spans="1:20" ht="18">
      <c r="A119" s="143" t="s">
        <v>436</v>
      </c>
      <c r="B119" s="150">
        <f>Calculations!B142</f>
        <v>3</v>
      </c>
      <c r="C119" s="144" t="s">
        <v>1</v>
      </c>
      <c r="E119" s="139"/>
      <c r="F119" s="139"/>
      <c r="G119" s="139"/>
      <c r="H119" s="139"/>
      <c r="I119" s="139"/>
      <c r="J119" s="139"/>
      <c r="K119" s="139"/>
      <c r="L119" s="139"/>
      <c r="M119" s="139"/>
      <c r="N119" s="139"/>
      <c r="O119" s="139"/>
      <c r="P119" s="139"/>
      <c r="Q119" s="139"/>
      <c r="R119" s="139"/>
      <c r="S119" s="140"/>
      <c r="T119" s="137"/>
    </row>
    <row r="120" spans="1:20" ht="18">
      <c r="A120" s="143" t="s">
        <v>437</v>
      </c>
      <c r="B120" s="150">
        <f>Calculations!B143</f>
        <v>1</v>
      </c>
      <c r="C120" s="144" t="s">
        <v>1</v>
      </c>
      <c r="E120" s="139"/>
      <c r="F120" s="139"/>
      <c r="G120" s="139"/>
      <c r="H120" s="139"/>
      <c r="I120" s="139"/>
      <c r="J120" s="139"/>
      <c r="K120" s="139"/>
      <c r="L120" s="139"/>
      <c r="M120" s="139"/>
      <c r="N120" s="139"/>
      <c r="O120" s="139"/>
      <c r="P120" s="139"/>
      <c r="Q120" s="139"/>
      <c r="R120" s="139"/>
      <c r="S120" s="140"/>
      <c r="T120" s="137"/>
    </row>
    <row r="121" spans="1:20" ht="18">
      <c r="A121" s="143" t="s">
        <v>438</v>
      </c>
      <c r="B121" s="155">
        <f>Calculations!B144</f>
        <v>4.9999999999999991</v>
      </c>
      <c r="C121" s="144" t="s">
        <v>40</v>
      </c>
      <c r="E121" s="139"/>
      <c r="F121" s="139"/>
      <c r="G121" s="139"/>
      <c r="H121" s="139"/>
      <c r="I121" s="139"/>
      <c r="J121" s="139"/>
      <c r="K121" s="139"/>
      <c r="L121" s="139"/>
      <c r="M121" s="139"/>
      <c r="N121" s="139"/>
      <c r="O121" s="139"/>
      <c r="P121" s="139"/>
      <c r="Q121" s="139"/>
      <c r="R121" s="139"/>
      <c r="S121" s="140"/>
      <c r="T121" s="137"/>
    </row>
    <row r="122" spans="1:20" ht="18">
      <c r="A122" s="143" t="s">
        <v>439</v>
      </c>
      <c r="B122" s="166">
        <v>4.7</v>
      </c>
      <c r="C122" s="144" t="s">
        <v>40</v>
      </c>
      <c r="E122" s="139"/>
      <c r="F122" s="139"/>
      <c r="G122" s="139"/>
      <c r="H122" s="139"/>
      <c r="I122" s="139"/>
      <c r="J122" s="139"/>
      <c r="K122" s="139"/>
      <c r="L122" s="139"/>
      <c r="M122" s="139"/>
      <c r="N122" s="139"/>
      <c r="O122" s="139"/>
      <c r="P122" s="139"/>
      <c r="Q122" s="139"/>
      <c r="R122" s="139"/>
      <c r="S122" s="140"/>
      <c r="T122" s="137"/>
    </row>
    <row r="123" spans="1:20" ht="18">
      <c r="A123" s="143" t="s">
        <v>440</v>
      </c>
      <c r="B123" s="161">
        <f>Calculations!B147</f>
        <v>16.513295998007361</v>
      </c>
      <c r="C123" s="144" t="s">
        <v>68</v>
      </c>
      <c r="E123" s="139"/>
      <c r="F123" s="139"/>
      <c r="G123" s="139"/>
      <c r="H123" s="139"/>
      <c r="I123" s="139"/>
      <c r="J123" s="139"/>
      <c r="K123" s="139"/>
      <c r="L123" s="139"/>
      <c r="M123" s="139"/>
      <c r="N123" s="139"/>
      <c r="O123" s="139"/>
      <c r="P123" s="139"/>
      <c r="Q123" s="139"/>
      <c r="R123" s="139"/>
      <c r="S123" s="140"/>
      <c r="T123" s="137"/>
    </row>
    <row r="124" spans="1:20" ht="18.75" thickBot="1">
      <c r="A124" s="145" t="s">
        <v>441</v>
      </c>
      <c r="B124" s="154">
        <f>Calculations!B146</f>
        <v>1.6931376924669714</v>
      </c>
      <c r="C124" s="146" t="s">
        <v>3</v>
      </c>
      <c r="E124" s="139"/>
      <c r="F124" s="139"/>
      <c r="G124" s="139"/>
      <c r="H124" s="139"/>
      <c r="I124" s="139"/>
      <c r="J124" s="139"/>
      <c r="K124" s="139"/>
      <c r="L124" s="139"/>
      <c r="M124" s="139"/>
      <c r="N124" s="139"/>
      <c r="O124" s="139"/>
      <c r="P124" s="139"/>
      <c r="Q124" s="139"/>
      <c r="R124" s="139"/>
      <c r="S124" s="140"/>
      <c r="T124" s="137"/>
    </row>
    <row r="125" spans="1:20">
      <c r="A125" s="147"/>
      <c r="B125" s="138"/>
      <c r="C125" s="138"/>
      <c r="E125" s="139"/>
      <c r="F125" s="139"/>
      <c r="G125" s="139"/>
      <c r="H125" s="139"/>
      <c r="I125" s="139"/>
      <c r="J125" s="139"/>
      <c r="K125" s="139"/>
      <c r="L125" s="139"/>
      <c r="M125" s="139"/>
      <c r="N125" s="139"/>
      <c r="O125" s="139"/>
      <c r="P125" s="139"/>
      <c r="Q125" s="139"/>
      <c r="R125" s="139"/>
      <c r="S125" s="140"/>
      <c r="T125" s="137"/>
    </row>
    <row r="126" spans="1:20" ht="18.75">
      <c r="A126" s="255" t="s">
        <v>514</v>
      </c>
      <c r="B126" s="255"/>
      <c r="C126" s="255"/>
      <c r="E126" s="139"/>
      <c r="F126" s="139"/>
      <c r="G126" s="139"/>
      <c r="H126" s="139"/>
      <c r="I126" s="139"/>
      <c r="J126" s="139"/>
      <c r="K126" s="139"/>
      <c r="L126" s="139"/>
      <c r="M126" s="139"/>
      <c r="N126" s="139"/>
      <c r="O126" s="139"/>
      <c r="P126" s="139"/>
      <c r="Q126" s="139"/>
      <c r="R126" s="139"/>
      <c r="S126" s="140"/>
      <c r="T126" s="137"/>
    </row>
    <row r="127" spans="1:20" ht="8.1" customHeight="1" thickBot="1">
      <c r="A127" s="147"/>
      <c r="B127" s="138"/>
      <c r="C127" s="138"/>
      <c r="E127" s="139"/>
      <c r="F127" s="139"/>
      <c r="G127" s="139"/>
      <c r="H127" s="139"/>
      <c r="I127" s="139"/>
      <c r="J127" s="139"/>
      <c r="K127" s="139"/>
      <c r="L127" s="139"/>
      <c r="M127" s="139"/>
      <c r="N127" s="139"/>
      <c r="O127" s="139"/>
      <c r="P127" s="139"/>
      <c r="Q127" s="139"/>
      <c r="R127" s="139"/>
      <c r="S127" s="140"/>
      <c r="T127" s="137"/>
    </row>
    <row r="128" spans="1:20" ht="15.75" thickBot="1">
      <c r="A128" s="256" t="s">
        <v>479</v>
      </c>
      <c r="B128" s="257"/>
      <c r="C128" s="258"/>
      <c r="E128" s="250" t="s">
        <v>442</v>
      </c>
      <c r="F128" s="250"/>
      <c r="G128" s="250"/>
      <c r="H128" s="159"/>
      <c r="I128" s="250" t="s">
        <v>443</v>
      </c>
      <c r="J128" s="250"/>
      <c r="K128" s="250"/>
      <c r="N128" s="159"/>
      <c r="O128" s="159"/>
      <c r="P128" s="159"/>
      <c r="Q128" s="159"/>
      <c r="R128" s="159"/>
      <c r="S128" s="160"/>
      <c r="T128" s="137"/>
    </row>
    <row r="129" spans="1:20">
      <c r="A129" s="143" t="s">
        <v>187</v>
      </c>
      <c r="B129" s="259" t="s">
        <v>593</v>
      </c>
      <c r="C129" s="260"/>
      <c r="F129" s="159"/>
      <c r="G129" s="159"/>
      <c r="H129" s="159"/>
      <c r="I129" s="159"/>
      <c r="J129" s="159"/>
      <c r="K129" s="159"/>
      <c r="N129" s="159"/>
      <c r="O129" s="159"/>
      <c r="P129" s="159"/>
      <c r="Q129" s="159"/>
      <c r="R129" s="159"/>
      <c r="S129" s="160"/>
      <c r="T129" s="137"/>
    </row>
    <row r="130" spans="1:20">
      <c r="A130" s="143" t="s">
        <v>274</v>
      </c>
      <c r="B130" s="166">
        <v>50</v>
      </c>
      <c r="C130" s="144" t="s">
        <v>93</v>
      </c>
      <c r="F130" s="159"/>
      <c r="G130" s="159"/>
      <c r="H130" s="159"/>
      <c r="I130" s="159"/>
      <c r="J130" s="159"/>
      <c r="K130" s="159"/>
      <c r="N130" s="159"/>
      <c r="O130" s="159"/>
      <c r="P130" s="159"/>
      <c r="Q130" s="159"/>
      <c r="R130" s="159"/>
      <c r="S130" s="160"/>
      <c r="T130" s="137"/>
    </row>
    <row r="131" spans="1:20" ht="18">
      <c r="A131" s="143" t="s">
        <v>348</v>
      </c>
      <c r="B131" s="155">
        <f>Calculations!B153</f>
        <v>19.047619047619051</v>
      </c>
      <c r="C131" s="144" t="s">
        <v>95</v>
      </c>
      <c r="F131" s="159"/>
      <c r="G131" s="159"/>
      <c r="H131" s="159"/>
      <c r="I131" s="159"/>
      <c r="J131" s="159"/>
      <c r="K131" s="159"/>
      <c r="N131" s="159"/>
      <c r="O131" s="159"/>
      <c r="P131" s="159"/>
      <c r="Q131" s="159"/>
      <c r="R131" s="159"/>
      <c r="S131" s="160"/>
      <c r="T131" s="137"/>
    </row>
    <row r="132" spans="1:20" ht="18">
      <c r="A132" s="143" t="s">
        <v>275</v>
      </c>
      <c r="B132" s="166">
        <v>20</v>
      </c>
      <c r="C132" s="144" t="s">
        <v>95</v>
      </c>
      <c r="F132" s="159"/>
      <c r="G132" s="159"/>
      <c r="H132" s="159"/>
      <c r="I132" s="159"/>
      <c r="J132" s="159"/>
      <c r="K132" s="159"/>
      <c r="N132" s="159"/>
      <c r="O132" s="159"/>
      <c r="P132" s="159"/>
      <c r="Q132" s="159"/>
      <c r="R132" s="159"/>
      <c r="S132" s="160"/>
      <c r="T132" s="137"/>
    </row>
    <row r="133" spans="1:20" ht="15.75" thickBot="1">
      <c r="A133" s="145" t="s">
        <v>594</v>
      </c>
      <c r="B133" s="149">
        <f>Calculations!B156</f>
        <v>52.499999999999993</v>
      </c>
      <c r="C133" s="146" t="s">
        <v>93</v>
      </c>
      <c r="F133" s="159"/>
      <c r="G133" s="159"/>
      <c r="H133" s="159"/>
      <c r="I133" s="159"/>
      <c r="J133" s="159"/>
      <c r="K133" s="159"/>
      <c r="N133" s="159"/>
      <c r="O133" s="159"/>
      <c r="P133" s="159"/>
      <c r="Q133" s="159"/>
      <c r="R133" s="159"/>
      <c r="S133" s="160"/>
      <c r="T133" s="137"/>
    </row>
    <row r="134" spans="1:20">
      <c r="A134" s="147"/>
      <c r="B134" s="138"/>
      <c r="C134" s="138"/>
      <c r="T134" s="137"/>
    </row>
    <row r="135" spans="1:20" ht="18.75">
      <c r="A135" s="255" t="s">
        <v>515</v>
      </c>
      <c r="B135" s="255"/>
      <c r="C135" s="255"/>
      <c r="T135" s="137"/>
    </row>
    <row r="136" spans="1:20" ht="7.9" customHeight="1" thickBot="1">
      <c r="A136" s="147"/>
      <c r="B136" s="138"/>
      <c r="C136" s="138"/>
      <c r="T136" s="137"/>
    </row>
    <row r="137" spans="1:20" ht="15.75" thickBot="1">
      <c r="A137" s="256" t="s">
        <v>491</v>
      </c>
      <c r="B137" s="257"/>
      <c r="C137" s="258"/>
      <c r="T137" s="137"/>
    </row>
    <row r="138" spans="1:20" ht="17.25">
      <c r="A138" s="143" t="s">
        <v>570</v>
      </c>
      <c r="B138" s="259" t="s">
        <v>583</v>
      </c>
      <c r="C138" s="260"/>
      <c r="T138" s="137"/>
    </row>
    <row r="139" spans="1:20">
      <c r="A139" s="143" t="s">
        <v>571</v>
      </c>
      <c r="B139" s="259" t="s">
        <v>567</v>
      </c>
      <c r="C139" s="260"/>
      <c r="T139" s="137"/>
    </row>
    <row r="140" spans="1:20" ht="18.75" thickBot="1">
      <c r="A140" s="145" t="s">
        <v>573</v>
      </c>
      <c r="B140" s="272" t="str">
        <f>Calculations!B162</f>
        <v>&lt;0.1</v>
      </c>
      <c r="C140" s="273"/>
      <c r="T140" s="137"/>
    </row>
    <row r="141" spans="1:20" ht="15.75" thickBot="1">
      <c r="A141" s="275" t="s">
        <v>510</v>
      </c>
      <c r="B141" s="276"/>
      <c r="C141" s="277"/>
      <c r="T141" s="137"/>
    </row>
    <row r="142" spans="1:20">
      <c r="A142" s="208" t="s">
        <v>572</v>
      </c>
      <c r="B142" s="278" t="str">
        <f>Calculations!B164</f>
        <v>180°</v>
      </c>
      <c r="C142" s="279"/>
      <c r="T142" s="137"/>
    </row>
    <row r="143" spans="1:20" ht="15.75" thickBot="1">
      <c r="A143" s="145" t="s">
        <v>520</v>
      </c>
      <c r="B143" s="280" t="str">
        <f>Calculations!B165</f>
        <v>HIGH</v>
      </c>
      <c r="C143" s="281"/>
      <c r="T143" s="137"/>
    </row>
    <row r="144" spans="1:20" s="138" customFormat="1">
      <c r="A144" s="147"/>
      <c r="S144" s="158"/>
    </row>
    <row r="145" spans="1:20" s="138" customFormat="1" ht="18.75" customHeight="1">
      <c r="A145" s="255" t="s">
        <v>516</v>
      </c>
      <c r="B145" s="255"/>
      <c r="C145" s="255"/>
      <c r="S145" s="158"/>
    </row>
    <row r="146" spans="1:20" ht="8.1" customHeight="1" thickBot="1">
      <c r="A146" s="147"/>
      <c r="B146" s="138"/>
      <c r="C146" s="138"/>
      <c r="T146" s="137"/>
    </row>
    <row r="147" spans="1:20" ht="15.75" thickBot="1">
      <c r="A147" s="256" t="s">
        <v>250</v>
      </c>
      <c r="B147" s="257"/>
      <c r="C147" s="258"/>
      <c r="T147" s="137"/>
    </row>
    <row r="148" spans="1:20" ht="18">
      <c r="A148" s="171" t="s">
        <v>566</v>
      </c>
      <c r="B148" s="166">
        <v>10</v>
      </c>
      <c r="C148" s="144" t="s">
        <v>211</v>
      </c>
      <c r="T148" s="137"/>
    </row>
    <row r="149" spans="1:20" ht="18">
      <c r="A149" s="171" t="s">
        <v>399</v>
      </c>
      <c r="B149" s="150">
        <f>Calculations!B172/1000</f>
        <v>15.923566878980891</v>
      </c>
      <c r="C149" s="144" t="s">
        <v>3</v>
      </c>
      <c r="T149" s="137"/>
    </row>
    <row r="150" spans="1:20" ht="18">
      <c r="A150" s="171" t="s">
        <v>400</v>
      </c>
      <c r="B150" s="166">
        <v>15</v>
      </c>
      <c r="C150" s="144" t="s">
        <v>3</v>
      </c>
      <c r="T150" s="137"/>
    </row>
    <row r="151" spans="1:20" ht="18">
      <c r="A151" s="171" t="s">
        <v>401</v>
      </c>
      <c r="B151" s="150">
        <f>Calculations!B176</f>
        <v>3.4617275225047668</v>
      </c>
      <c r="C151" s="144" t="s">
        <v>95</v>
      </c>
      <c r="T151" s="137"/>
    </row>
    <row r="152" spans="1:20" ht="18">
      <c r="A152" s="171" t="s">
        <v>402</v>
      </c>
      <c r="B152" s="166">
        <v>3.6</v>
      </c>
      <c r="C152" s="144" t="s">
        <v>95</v>
      </c>
      <c r="T152" s="137"/>
    </row>
    <row r="153" spans="1:20" ht="18">
      <c r="A153" s="171" t="s">
        <v>403</v>
      </c>
      <c r="B153" s="155">
        <f>Calculations!B178</f>
        <v>14.736568804805122</v>
      </c>
      <c r="C153" s="144" t="s">
        <v>40</v>
      </c>
      <c r="T153" s="137"/>
    </row>
    <row r="154" spans="1:20" ht="18">
      <c r="A154" s="171" t="s">
        <v>404</v>
      </c>
      <c r="B154" s="166">
        <v>100</v>
      </c>
      <c r="C154" s="144" t="s">
        <v>40</v>
      </c>
      <c r="T154" s="137"/>
    </row>
    <row r="155" spans="1:20" ht="18">
      <c r="A155" s="171" t="s">
        <v>405</v>
      </c>
      <c r="B155" s="155">
        <f>Calculations!B180</f>
        <v>0.98243792032034138</v>
      </c>
      <c r="C155" s="144" t="s">
        <v>40</v>
      </c>
      <c r="T155" s="137"/>
    </row>
    <row r="156" spans="1:20" ht="18">
      <c r="A156" s="171" t="s">
        <v>406</v>
      </c>
      <c r="B156" s="166">
        <v>1</v>
      </c>
      <c r="C156" s="144" t="s">
        <v>40</v>
      </c>
      <c r="T156" s="137"/>
    </row>
    <row r="157" spans="1:20" ht="18">
      <c r="A157" s="171" t="s">
        <v>365</v>
      </c>
      <c r="B157" s="150">
        <f>Calculations!B182</f>
        <v>0.44209706414415367</v>
      </c>
      <c r="C157" s="144" t="s">
        <v>3</v>
      </c>
      <c r="T157" s="137"/>
    </row>
    <row r="158" spans="1:20" ht="18.75" thickBot="1">
      <c r="A158" s="177" t="s">
        <v>366</v>
      </c>
      <c r="B158" s="165">
        <f>Calculations!B183</f>
        <v>44.209706414415379</v>
      </c>
      <c r="C158" s="146" t="s">
        <v>3</v>
      </c>
      <c r="T158" s="137"/>
    </row>
    <row r="160" spans="1:20" s="138" customFormat="1" ht="18.75">
      <c r="A160" s="282" t="s">
        <v>517</v>
      </c>
      <c r="B160" s="282"/>
      <c r="C160" s="282"/>
      <c r="S160" s="158"/>
    </row>
    <row r="161" spans="1:20" s="138" customFormat="1" ht="8.1" customHeight="1" thickBot="1">
      <c r="A161" s="201"/>
      <c r="B161" s="201"/>
      <c r="C161" s="201"/>
      <c r="S161" s="158"/>
    </row>
    <row r="162" spans="1:20" s="138" customFormat="1" ht="18.75" thickBot="1">
      <c r="A162" s="261" t="s">
        <v>458</v>
      </c>
      <c r="B162" s="262"/>
      <c r="C162" s="263"/>
      <c r="S162" s="158"/>
    </row>
    <row r="163" spans="1:20" s="138" customFormat="1" ht="18">
      <c r="A163" s="185" t="s">
        <v>556</v>
      </c>
      <c r="B163" s="235">
        <f>Calculations!B215</f>
        <v>2.76</v>
      </c>
      <c r="C163" s="157" t="s">
        <v>95</v>
      </c>
      <c r="S163" s="158"/>
    </row>
    <row r="164" spans="1:20" s="138" customFormat="1" ht="18">
      <c r="A164" s="171" t="s">
        <v>555</v>
      </c>
      <c r="B164" s="166">
        <v>4.0199999999999996</v>
      </c>
      <c r="C164" s="144" t="s">
        <v>95</v>
      </c>
      <c r="S164" s="158"/>
    </row>
    <row r="165" spans="1:20" s="138" customFormat="1" ht="18">
      <c r="A165" s="171" t="s">
        <v>557</v>
      </c>
      <c r="B165" s="237">
        <f>Calculations!B217</f>
        <v>1.8060869565217395</v>
      </c>
      <c r="C165" s="144" t="s">
        <v>95</v>
      </c>
      <c r="S165" s="158"/>
    </row>
    <row r="166" spans="1:20" s="138" customFormat="1" ht="18.75" thickBot="1">
      <c r="A166" s="177" t="s">
        <v>554</v>
      </c>
      <c r="B166" s="167">
        <v>1</v>
      </c>
      <c r="C166" s="146" t="s">
        <v>95</v>
      </c>
      <c r="S166" s="158"/>
    </row>
    <row r="167" spans="1:20" s="138" customFormat="1">
      <c r="A167" s="147"/>
      <c r="S167" s="158"/>
    </row>
    <row r="168" spans="1:20" s="138" customFormat="1" ht="18.75" customHeight="1">
      <c r="A168" s="282" t="s">
        <v>518</v>
      </c>
      <c r="B168" s="282"/>
      <c r="C168" s="282"/>
      <c r="S168" s="158"/>
    </row>
    <row r="169" spans="1:20" ht="8.1" customHeight="1" thickBot="1">
      <c r="T169" s="137"/>
    </row>
    <row r="170" spans="1:20" ht="15.75" thickBot="1">
      <c r="A170" s="256" t="s">
        <v>344</v>
      </c>
      <c r="B170" s="257"/>
      <c r="C170" s="258"/>
      <c r="T170" s="137"/>
    </row>
    <row r="171" spans="1:20" ht="18">
      <c r="A171" s="171" t="s">
        <v>542</v>
      </c>
      <c r="B171" s="166">
        <v>4.42</v>
      </c>
      <c r="C171" s="144" t="s">
        <v>95</v>
      </c>
      <c r="T171" s="137"/>
    </row>
    <row r="172" spans="1:20" ht="18">
      <c r="A172" s="171" t="s">
        <v>543</v>
      </c>
      <c r="B172" s="138">
        <f>Calculations!B192/1000</f>
        <v>27.183</v>
      </c>
      <c r="C172" s="144" t="s">
        <v>95</v>
      </c>
      <c r="T172" s="137"/>
    </row>
    <row r="173" spans="1:20" ht="18">
      <c r="A173" s="171" t="s">
        <v>544</v>
      </c>
      <c r="B173" s="166">
        <v>26.7</v>
      </c>
      <c r="C173" s="144" t="s">
        <v>95</v>
      </c>
      <c r="T173" s="137"/>
    </row>
    <row r="174" spans="1:20">
      <c r="A174" s="171" t="s">
        <v>323</v>
      </c>
      <c r="B174" s="138">
        <f>Calculations!B197/1000</f>
        <v>1.5</v>
      </c>
      <c r="C174" s="144" t="s">
        <v>3</v>
      </c>
      <c r="T174" s="137"/>
    </row>
    <row r="175" spans="1:20">
      <c r="A175" s="171" t="s">
        <v>218</v>
      </c>
      <c r="B175" s="166">
        <v>7</v>
      </c>
      <c r="C175" s="144" t="s">
        <v>3</v>
      </c>
      <c r="T175" s="137"/>
    </row>
    <row r="176" spans="1:20" ht="18">
      <c r="A176" s="171" t="s">
        <v>407</v>
      </c>
      <c r="B176" s="150">
        <f>Calculations!B224</f>
        <v>24.447645944247895</v>
      </c>
      <c r="C176" s="144" t="s">
        <v>95</v>
      </c>
      <c r="T176" s="137"/>
    </row>
    <row r="177" spans="1:20" ht="18">
      <c r="A177" s="171" t="s">
        <v>408</v>
      </c>
      <c r="B177" s="166">
        <v>25</v>
      </c>
      <c r="C177" s="144" t="s">
        <v>95</v>
      </c>
      <c r="T177" s="137"/>
    </row>
    <row r="178" spans="1:20" ht="18">
      <c r="A178" s="171" t="s">
        <v>409</v>
      </c>
      <c r="B178" s="155">
        <f>Calculations!B226</f>
        <v>7.9466666666666654</v>
      </c>
      <c r="C178" s="144" t="s">
        <v>40</v>
      </c>
      <c r="T178" s="137"/>
    </row>
    <row r="179" spans="1:20" ht="18">
      <c r="A179" s="171" t="s">
        <v>410</v>
      </c>
      <c r="B179" s="166">
        <v>10</v>
      </c>
      <c r="C179" s="144" t="s">
        <v>40</v>
      </c>
      <c r="T179" s="137"/>
    </row>
    <row r="180" spans="1:20" ht="18">
      <c r="A180" s="171" t="s">
        <v>411</v>
      </c>
      <c r="B180" s="176">
        <f>Calculations!B228</f>
        <v>181.89136353359467</v>
      </c>
      <c r="C180" s="144" t="s">
        <v>364</v>
      </c>
      <c r="T180" s="137"/>
    </row>
    <row r="181" spans="1:20" ht="18">
      <c r="A181" s="171" t="s">
        <v>412</v>
      </c>
      <c r="B181" s="166">
        <v>100</v>
      </c>
      <c r="C181" s="144" t="s">
        <v>364</v>
      </c>
      <c r="T181" s="137"/>
    </row>
    <row r="182" spans="1:20" ht="18">
      <c r="A182" s="171" t="s">
        <v>365</v>
      </c>
      <c r="B182" s="150">
        <f>Calculations!B230</f>
        <v>0.63661977236758127</v>
      </c>
      <c r="C182" s="144" t="s">
        <v>3</v>
      </c>
      <c r="T182" s="137"/>
    </row>
    <row r="183" spans="1:20" ht="18.75" thickBot="1">
      <c r="A183" s="177" t="s">
        <v>366</v>
      </c>
      <c r="B183" s="154">
        <f>Calculations!B231</f>
        <v>63.661977236758133</v>
      </c>
      <c r="C183" s="146" t="s">
        <v>3</v>
      </c>
      <c r="T183" s="137"/>
    </row>
    <row r="184" spans="1:20">
      <c r="T184" s="137"/>
    </row>
    <row r="185" spans="1:20" ht="18.75">
      <c r="A185" s="255" t="s">
        <v>519</v>
      </c>
      <c r="B185" s="255"/>
      <c r="C185" s="255"/>
      <c r="R185" s="138"/>
      <c r="T185" s="137"/>
    </row>
    <row r="186" spans="1:20" ht="8.1" customHeight="1" thickBot="1">
      <c r="R186" s="138"/>
    </row>
    <row r="187" spans="1:20" s="138" customFormat="1" ht="15.75" thickBot="1">
      <c r="A187" s="256" t="s">
        <v>345</v>
      </c>
      <c r="B187" s="257"/>
      <c r="C187" s="258"/>
      <c r="S187" s="158"/>
    </row>
    <row r="188" spans="1:20" ht="18">
      <c r="A188" s="171" t="s">
        <v>542</v>
      </c>
      <c r="B188" s="166">
        <v>2.1</v>
      </c>
      <c r="C188" s="144" t="s">
        <v>95</v>
      </c>
      <c r="R188" s="138"/>
      <c r="T188" s="137"/>
    </row>
    <row r="189" spans="1:20" ht="18">
      <c r="A189" s="171" t="s">
        <v>543</v>
      </c>
      <c r="B189" s="138">
        <f>Calculations!B236/1000</f>
        <v>48.3</v>
      </c>
      <c r="C189" s="144" t="s">
        <v>95</v>
      </c>
      <c r="R189" s="138"/>
      <c r="T189" s="137"/>
    </row>
    <row r="190" spans="1:20" ht="18">
      <c r="A190" s="171" t="s">
        <v>544</v>
      </c>
      <c r="B190" s="166">
        <v>49.9</v>
      </c>
      <c r="C190" s="144" t="s">
        <v>95</v>
      </c>
      <c r="R190" s="138"/>
      <c r="T190" s="137"/>
    </row>
    <row r="191" spans="1:20">
      <c r="A191" s="171" t="s">
        <v>323</v>
      </c>
      <c r="B191" s="161">
        <f>Calculations!B241/1000</f>
        <v>1.5</v>
      </c>
      <c r="C191" s="144" t="s">
        <v>3</v>
      </c>
      <c r="R191" s="138"/>
      <c r="T191" s="137"/>
    </row>
    <row r="192" spans="1:20">
      <c r="A192" s="171" t="s">
        <v>218</v>
      </c>
      <c r="B192" s="249">
        <v>4</v>
      </c>
      <c r="C192" s="144" t="s">
        <v>3</v>
      </c>
      <c r="D192" s="137"/>
      <c r="R192" s="138"/>
      <c r="T192" s="137"/>
    </row>
    <row r="193" spans="1:20" ht="18">
      <c r="A193" s="171" t="s">
        <v>413</v>
      </c>
      <c r="B193" s="155">
        <f>Calculations!B264</f>
        <v>75.438790306229947</v>
      </c>
      <c r="C193" s="144" t="s">
        <v>95</v>
      </c>
      <c r="D193" s="137"/>
      <c r="R193" s="138"/>
      <c r="T193" s="137"/>
    </row>
    <row r="194" spans="1:20" ht="18">
      <c r="A194" s="171" t="s">
        <v>414</v>
      </c>
      <c r="B194" s="166">
        <v>75</v>
      </c>
      <c r="C194" s="144" t="s">
        <v>95</v>
      </c>
      <c r="D194" s="137"/>
      <c r="R194" s="138"/>
      <c r="T194" s="137"/>
    </row>
    <row r="195" spans="1:20" ht="18">
      <c r="A195" s="171" t="s">
        <v>415</v>
      </c>
      <c r="B195" s="150">
        <f>Calculations!B266</f>
        <v>22.668235294117647</v>
      </c>
      <c r="C195" s="144" t="s">
        <v>40</v>
      </c>
      <c r="D195" s="137"/>
      <c r="R195" s="138"/>
      <c r="T195" s="137"/>
    </row>
    <row r="196" spans="1:20" ht="18">
      <c r="A196" s="171" t="s">
        <v>416</v>
      </c>
      <c r="B196" s="166">
        <v>33</v>
      </c>
      <c r="C196" s="144" t="s">
        <v>40</v>
      </c>
      <c r="D196" s="137"/>
      <c r="R196" s="138"/>
      <c r="T196" s="137"/>
    </row>
    <row r="197" spans="1:20" ht="18">
      <c r="A197" s="171" t="s">
        <v>417</v>
      </c>
      <c r="B197" s="176">
        <f>Calculations!B268</f>
        <v>177.55555555555551</v>
      </c>
      <c r="C197" s="144" t="s">
        <v>364</v>
      </c>
      <c r="D197" s="137"/>
      <c r="R197" s="138"/>
      <c r="T197" s="137"/>
    </row>
    <row r="198" spans="1:20" ht="18">
      <c r="A198" s="171" t="s">
        <v>418</v>
      </c>
      <c r="B198" s="166">
        <v>100</v>
      </c>
      <c r="C198" s="144" t="s">
        <v>364</v>
      </c>
      <c r="D198" s="137"/>
      <c r="R198" s="138"/>
      <c r="T198" s="137"/>
    </row>
    <row r="199" spans="1:20" ht="18">
      <c r="A199" s="171" t="s">
        <v>365</v>
      </c>
      <c r="B199" s="150">
        <f>Calculations!B270</f>
        <v>6.4305027511876903E-2</v>
      </c>
      <c r="C199" s="144" t="s">
        <v>3</v>
      </c>
      <c r="D199" s="137"/>
      <c r="R199" s="138"/>
      <c r="T199" s="137"/>
    </row>
    <row r="200" spans="1:20" ht="18.75" thickBot="1">
      <c r="A200" s="145" t="s">
        <v>276</v>
      </c>
      <c r="B200" s="154">
        <f>Calculations!B271</f>
        <v>21.220659078919379</v>
      </c>
      <c r="C200" s="146" t="s">
        <v>3</v>
      </c>
      <c r="D200" s="137"/>
      <c r="R200" s="138"/>
      <c r="T200" s="137"/>
    </row>
    <row r="201" spans="1:20">
      <c r="D201" s="137"/>
      <c r="R201" s="138"/>
      <c r="T201" s="137"/>
    </row>
    <row r="202" spans="1:20" ht="18.75">
      <c r="A202" s="255" t="s">
        <v>578</v>
      </c>
      <c r="B202" s="255"/>
      <c r="C202" s="255"/>
      <c r="D202" s="137"/>
      <c r="R202" s="138"/>
      <c r="T202" s="137"/>
    </row>
    <row r="203" spans="1:20">
      <c r="A203" s="274" t="s">
        <v>579</v>
      </c>
      <c r="B203" s="274"/>
      <c r="C203" s="246"/>
      <c r="D203" s="247"/>
      <c r="E203" s="245"/>
      <c r="F203" s="245"/>
      <c r="R203" s="138"/>
      <c r="T203" s="137"/>
    </row>
    <row r="204" spans="1:20">
      <c r="A204" s="274" t="s">
        <v>580</v>
      </c>
      <c r="B204" s="274"/>
      <c r="C204" s="246"/>
      <c r="D204" s="248"/>
      <c r="R204" s="138"/>
    </row>
    <row r="205" spans="1:20">
      <c r="A205" s="147"/>
      <c r="B205" s="138"/>
    </row>
    <row r="206" spans="1:20">
      <c r="A206" s="244"/>
      <c r="B206" s="138"/>
    </row>
  </sheetData>
  <sheetProtection algorithmName="SHA-512" hashValue="oQCg8aSpPld6KzvkRpN8TlgcP7dNbF3yn6p5ISIHTHtgOIuQEPJs7dKoBQ4Kq9Z2s7DjAa6Pb1goLOLpLkFbrg==" saltValue="KUFXwDKc37Y+IMVJJA6M6g==" spinCount="100000" sheet="1" objects="1" scenarios="1" selectLockedCells="1"/>
  <mergeCells count="55">
    <mergeCell ref="A202:C202"/>
    <mergeCell ref="A203:B203"/>
    <mergeCell ref="A204:B204"/>
    <mergeCell ref="A141:C141"/>
    <mergeCell ref="B142:C142"/>
    <mergeCell ref="B143:C143"/>
    <mergeCell ref="A168:C168"/>
    <mergeCell ref="A162:C162"/>
    <mergeCell ref="A160:C160"/>
    <mergeCell ref="A145:C145"/>
    <mergeCell ref="A135:C135"/>
    <mergeCell ref="A137:C137"/>
    <mergeCell ref="B140:C140"/>
    <mergeCell ref="B138:C138"/>
    <mergeCell ref="B139:C139"/>
    <mergeCell ref="G10:N11"/>
    <mergeCell ref="A170:C170"/>
    <mergeCell ref="A185:C185"/>
    <mergeCell ref="A187:C187"/>
    <mergeCell ref="A1:XFD3"/>
    <mergeCell ref="A15:C15"/>
    <mergeCell ref="A10:C10"/>
    <mergeCell ref="A35:C35"/>
    <mergeCell ref="A24:C24"/>
    <mergeCell ref="A20:C20"/>
    <mergeCell ref="A8:C8"/>
    <mergeCell ref="A32:C32"/>
    <mergeCell ref="A147:C147"/>
    <mergeCell ref="A33:C33"/>
    <mergeCell ref="A42:C42"/>
    <mergeCell ref="A56:C56"/>
    <mergeCell ref="B129:C129"/>
    <mergeCell ref="F88:H88"/>
    <mergeCell ref="A44:C44"/>
    <mergeCell ref="A58:C58"/>
    <mergeCell ref="A61:C61"/>
    <mergeCell ref="A65:C65"/>
    <mergeCell ref="A68:C68"/>
    <mergeCell ref="A79:C79"/>
    <mergeCell ref="B67:C67"/>
    <mergeCell ref="A102:C102"/>
    <mergeCell ref="A104:C104"/>
    <mergeCell ref="Q88:R88"/>
    <mergeCell ref="E128:G128"/>
    <mergeCell ref="B93:C93"/>
    <mergeCell ref="P72:Q72"/>
    <mergeCell ref="K88:M88"/>
    <mergeCell ref="I128:K128"/>
    <mergeCell ref="A85:C85"/>
    <mergeCell ref="A115:C115"/>
    <mergeCell ref="A113:C113"/>
    <mergeCell ref="A128:C128"/>
    <mergeCell ref="A87:C87"/>
    <mergeCell ref="A126:C126"/>
    <mergeCell ref="B88:C88"/>
  </mergeCells>
  <phoneticPr fontId="24" type="noConversion"/>
  <conditionalFormatting sqref="B48">
    <cfRule type="cellIs" dxfId="23" priority="2" operator="greaterThan">
      <formula>3</formula>
    </cfRule>
  </conditionalFormatting>
  <conditionalFormatting sqref="B70">
    <cfRule type="cellIs" dxfId="22" priority="1" operator="greaterThan">
      <formula>3.5</formula>
    </cfRule>
  </conditionalFormatting>
  <hyperlinks>
    <hyperlink ref="R5" location="Licenses!A1" display="Terms of Use" xr:uid="{0C43E5D8-64F2-4553-B64D-99EAF6E484DC}"/>
    <hyperlink ref="A203" r:id="rId1" xr:uid="{6C33A39F-3BBB-43F9-BEB7-706792CB90CC}"/>
    <hyperlink ref="A204" r:id="rId2" xr:uid="{CC6C8674-71BE-4656-B786-1495B547097B}"/>
  </hyperlinks>
  <pageMargins left="0.7" right="0.7" top="0.75" bottom="0.75" header="0.3" footer="0.3"/>
  <pageSetup orientation="portrait" r:id="rId3"/>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98" id="{07FC6EAE-5778-4309-937A-687AA588D44B}">
            <xm:f>Calculations!$B$115=0</xm:f>
            <x14:dxf>
              <font>
                <strike/>
              </font>
              <fill>
                <patternFill>
                  <bgColor theme="0" tint="-0.24994659260841701"/>
                </patternFill>
              </fill>
            </x14:dxf>
          </x14:cfRule>
          <xm:sqref>B89:C100</xm:sqref>
        </x14:conditionalFormatting>
        <x14:conditionalFormatting xmlns:xm="http://schemas.microsoft.com/office/excel/2006/main">
          <x14:cfRule type="expression" priority="99" id="{6C6BBDF6-48B1-4593-9A50-F8BCAE673E59}">
            <xm:f>Calculations!$B$151=0</xm:f>
            <x14:dxf>
              <font>
                <strike/>
              </font>
              <fill>
                <patternFill>
                  <bgColor theme="0" tint="-0.14996795556505021"/>
                </patternFill>
              </fill>
            </x14:dxf>
          </x14:cfRule>
          <xm:sqref>B130:C132</xm:sqref>
        </x14:conditionalFormatting>
        <x14:conditionalFormatting xmlns:xm="http://schemas.microsoft.com/office/excel/2006/main">
          <x14:cfRule type="expression" priority="26" id="{9FA85335-EB2E-48A9-A7D7-C07E978031A2}">
            <xm:f>Calculations!$B$88=1</xm:f>
            <x14:dxf>
              <font>
                <strike/>
              </font>
              <fill>
                <patternFill>
                  <bgColor theme="0" tint="-0.24994659260841701"/>
                </patternFill>
              </fill>
            </x14:dxf>
          </x14:cfRule>
          <xm:sqref>B69:C78</xm:sqref>
        </x14:conditionalFormatting>
        <x14:conditionalFormatting xmlns:xm="http://schemas.microsoft.com/office/excel/2006/main">
          <x14:cfRule type="expression" priority="25" id="{8E159F03-0D07-4EAA-A69E-27DBA1022A36}">
            <xm:f>Calculations!$B$88=0</xm:f>
            <x14:dxf>
              <font>
                <strike/>
              </font>
              <fill>
                <patternFill>
                  <bgColor theme="0" tint="-0.24994659260841701"/>
                </patternFill>
              </fill>
            </x14:dxf>
          </x14:cfRule>
          <xm:sqref>B80:C80 B83:C83</xm:sqref>
        </x14:conditionalFormatting>
        <x14:conditionalFormatting xmlns:xm="http://schemas.microsoft.com/office/excel/2006/main">
          <x14:cfRule type="expression" priority="21" id="{B2366107-DEDD-43B4-8250-079DE7E01FE3}">
            <xm:f>AND(Calculations!$B$115=1,Calculations!$B$120=0)</xm:f>
            <x14:dxf>
              <fill>
                <patternFill>
                  <bgColor rgb="FF92D050"/>
                </patternFill>
              </fill>
            </x14:dxf>
          </x14:cfRule>
          <xm:sqref>F88:H88</xm:sqref>
        </x14:conditionalFormatting>
        <x14:conditionalFormatting xmlns:xm="http://schemas.microsoft.com/office/excel/2006/main">
          <x14:cfRule type="expression" priority="22" id="{786F59AD-C9E6-4F8B-90AE-0B028E1196B9}">
            <xm:f>AND(Calculations!$B$115=1,Calculations!$B$120=1)</xm:f>
            <x14:dxf>
              <fill>
                <patternFill>
                  <bgColor rgb="FF92D050"/>
                </patternFill>
              </fill>
            </x14:dxf>
          </x14:cfRule>
          <xm:sqref>K88:M88</xm:sqref>
        </x14:conditionalFormatting>
        <x14:conditionalFormatting xmlns:xm="http://schemas.microsoft.com/office/excel/2006/main">
          <x14:cfRule type="expression" priority="23" id="{54930C2E-2079-4682-986C-14AD37D2ED3C}">
            <xm:f>Calculations!$B$115=0</xm:f>
            <x14:dxf>
              <fill>
                <patternFill>
                  <bgColor rgb="FF92D050"/>
                </patternFill>
              </fill>
            </x14:dxf>
          </x14:cfRule>
          <xm:sqref>Q88:R88</xm:sqref>
        </x14:conditionalFormatting>
        <x14:conditionalFormatting xmlns:xm="http://schemas.microsoft.com/office/excel/2006/main">
          <x14:cfRule type="expression" priority="20" id="{C1139A9E-2F83-4A8B-AFCA-C2AE036E7CC9}">
            <xm:f>Calculations!$B$151=0</xm:f>
            <x14:dxf>
              <fill>
                <patternFill>
                  <bgColor rgb="FF92D050"/>
                </patternFill>
              </fill>
            </x14:dxf>
          </x14:cfRule>
          <xm:sqref>E128:G128</xm:sqref>
        </x14:conditionalFormatting>
        <x14:conditionalFormatting xmlns:xm="http://schemas.microsoft.com/office/excel/2006/main">
          <x14:cfRule type="expression" priority="19" id="{1B9613E3-4134-43B0-9DBF-4369EB83EEF7}">
            <xm:f>Calculations!$B$151=1</xm:f>
            <x14:dxf>
              <fill>
                <patternFill>
                  <bgColor rgb="FF92D050"/>
                </patternFill>
              </fill>
            </x14:dxf>
          </x14:cfRule>
          <xm:sqref>I128:K128</xm:sqref>
        </x14:conditionalFormatting>
        <x14:conditionalFormatting xmlns:xm="http://schemas.microsoft.com/office/excel/2006/main">
          <x14:cfRule type="expression" priority="17" id="{71C5346A-CE74-4315-941C-E119401514EE}">
            <xm:f>Calculations!$D$15</xm:f>
            <x14:dxf>
              <fill>
                <patternFill>
                  <bgColor rgb="FFFF0000"/>
                </patternFill>
              </fill>
            </x14:dxf>
          </x14:cfRule>
          <xm:sqref>B21</xm:sqref>
        </x14:conditionalFormatting>
        <x14:conditionalFormatting xmlns:xm="http://schemas.microsoft.com/office/excel/2006/main">
          <x14:cfRule type="expression" priority="14" id="{8DA8BAD0-9FFF-48EC-97B1-D1E0361372EA}">
            <xm:f>Calculations!$D$7</xm:f>
            <x14:dxf>
              <fill>
                <patternFill>
                  <bgColor rgb="FFFF0000"/>
                </patternFill>
              </fill>
            </x14:dxf>
          </x14:cfRule>
          <xm:sqref>B11</xm:sqref>
        </x14:conditionalFormatting>
        <x14:conditionalFormatting xmlns:xm="http://schemas.microsoft.com/office/excel/2006/main">
          <x14:cfRule type="expression" priority="13" id="{6383C642-A2E1-47C5-BE0A-9410EF4CC739}">
            <xm:f>Calculations!$D$8</xm:f>
            <x14:dxf>
              <fill>
                <patternFill>
                  <bgColor rgb="FFFF0000"/>
                </patternFill>
              </fill>
            </x14:dxf>
          </x14:cfRule>
          <xm:sqref>B12</xm:sqref>
        </x14:conditionalFormatting>
        <x14:conditionalFormatting xmlns:xm="http://schemas.microsoft.com/office/excel/2006/main">
          <x14:cfRule type="expression" priority="12" id="{68164077-B6D3-47AD-9F74-4B1AD88F8436}">
            <xm:f>Calculations!$D$9</xm:f>
            <x14:dxf>
              <fill>
                <patternFill>
                  <bgColor rgb="FFFF0000"/>
                </patternFill>
              </fill>
            </x14:dxf>
          </x14:cfRule>
          <xm:sqref>B13</xm:sqref>
        </x14:conditionalFormatting>
        <x14:conditionalFormatting xmlns:xm="http://schemas.microsoft.com/office/excel/2006/main">
          <x14:cfRule type="expression" priority="11" id="{7FADB542-7869-4724-8891-E325FAB0B76D}">
            <xm:f>Calculations!$D$11</xm:f>
            <x14:dxf>
              <fill>
                <patternFill>
                  <bgColor rgb="FFFF0000"/>
                </patternFill>
              </fill>
            </x14:dxf>
          </x14:cfRule>
          <xm:sqref>B16</xm:sqref>
        </x14:conditionalFormatting>
        <x14:conditionalFormatting xmlns:xm="http://schemas.microsoft.com/office/excel/2006/main">
          <x14:cfRule type="expression" priority="10" id="{B919A512-D41A-4909-82CD-BA9AA011A576}">
            <xm:f>Calculations!$D$12</xm:f>
            <x14:dxf>
              <fill>
                <patternFill>
                  <bgColor rgb="FFFF0000"/>
                </patternFill>
              </fill>
            </x14:dxf>
          </x14:cfRule>
          <xm:sqref>B17</xm:sqref>
        </x14:conditionalFormatting>
        <x14:conditionalFormatting xmlns:xm="http://schemas.microsoft.com/office/excel/2006/main">
          <x14:cfRule type="expression" priority="9" id="{6D1F4A22-E22E-439F-B7C4-82E3FA7A875C}">
            <xm:f>Calculations!$D$13</xm:f>
            <x14:dxf>
              <fill>
                <patternFill>
                  <bgColor rgb="FFFF0000"/>
                </patternFill>
              </fill>
            </x14:dxf>
          </x14:cfRule>
          <xm:sqref>B18</xm:sqref>
        </x14:conditionalFormatting>
        <x14:conditionalFormatting xmlns:xm="http://schemas.microsoft.com/office/excel/2006/main">
          <x14:cfRule type="expression" priority="100" id="{72F261F3-C112-49B4-9B33-09E9FE7FF750}">
            <xm:f>Calculations!$D$139=1</xm:f>
            <x14:dxf>
              <fill>
                <patternFill>
                  <bgColor rgb="FFFF0000"/>
                </patternFill>
              </fill>
            </x14:dxf>
          </x14:cfRule>
          <xm:sqref>B116</xm:sqref>
        </x14:conditionalFormatting>
        <x14:conditionalFormatting xmlns:xm="http://schemas.microsoft.com/office/excel/2006/main">
          <x14:cfRule type="expression" priority="101" id="{DE18DFA1-F8B7-4BDD-8B82-246AAAD06FE9}">
            <xm:f>Calculations!$D$142=1</xm:f>
            <x14:dxf>
              <fill>
                <patternFill>
                  <bgColor rgb="FFFF0000"/>
                </patternFill>
              </fill>
            </x14:dxf>
          </x14:cfRule>
          <xm:sqref>B119</xm:sqref>
        </x14:conditionalFormatting>
        <x14:conditionalFormatting xmlns:xm="http://schemas.microsoft.com/office/excel/2006/main">
          <x14:cfRule type="expression" priority="8" id="{E0AF23A0-C035-4129-BA83-BB84123512E7}">
            <xm:f>Calculations!$D$152</xm:f>
            <x14:dxf>
              <fill>
                <patternFill>
                  <bgColor rgb="FFFF0000"/>
                </patternFill>
              </fill>
            </x14:dxf>
          </x14:cfRule>
          <xm:sqref>B130</xm:sqref>
        </x14:conditionalFormatting>
        <x14:conditionalFormatting xmlns:xm="http://schemas.microsoft.com/office/excel/2006/main">
          <x14:cfRule type="expression" priority="6" id="{EBA98BB0-569E-42C2-8F9B-11318F2B3C69}">
            <xm:f>Calculations!$D$156</xm:f>
            <x14:dxf>
              <fill>
                <patternFill>
                  <bgColor rgb="FFFF0000"/>
                </patternFill>
              </fill>
            </x14:dxf>
          </x14:cfRule>
          <xm:sqref>B133</xm:sqref>
        </x14:conditionalFormatting>
        <x14:conditionalFormatting xmlns:xm="http://schemas.microsoft.com/office/excel/2006/main">
          <x14:cfRule type="expression" priority="5" id="{45C6D6DC-EAAF-48DA-9322-F9561F33DAA9}">
            <xm:f>Calculations!$D$217</xm:f>
            <x14:dxf>
              <fill>
                <patternFill>
                  <bgColor rgb="FFFF0000"/>
                </patternFill>
              </fill>
            </x14:dxf>
          </x14:cfRule>
          <xm:sqref>B165</xm:sqref>
        </x14:conditionalFormatting>
        <x14:conditionalFormatting xmlns:xm="http://schemas.microsoft.com/office/excel/2006/main">
          <x14:cfRule type="expression" priority="4" id="{9FC0A7E8-5F9A-44ED-A30D-4661B538CF91}">
            <xm:f>Calculations!$B$120=0</xm:f>
            <x14:dxf>
              <font>
                <strike/>
              </font>
              <fill>
                <patternFill>
                  <bgColor theme="0" tint="-0.24994659260841701"/>
                </patternFill>
              </fill>
            </x14:dxf>
          </x14:cfRule>
          <xm:sqref>B94:C96</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0000000}">
          <x14:formula1>
            <xm:f>Lists!$A$2:$A$3</xm:f>
          </x14:formula1>
          <xm:sqref>B88</xm:sqref>
        </x14:dataValidation>
        <x14:dataValidation type="list" allowBlank="1" showInputMessage="1" xr:uid="{00000000-0002-0000-0000-000001000000}">
          <x14:formula1>
            <xm:f>Lists!$E$2:$E$3</xm:f>
          </x14:formula1>
          <xm:sqref>B116</xm:sqref>
        </x14:dataValidation>
        <x14:dataValidation type="list" allowBlank="1" showInputMessage="1" showErrorMessage="1" xr:uid="{00000000-0002-0000-0000-000002000000}">
          <x14:formula1>
            <xm:f>Lists!$C$2:$C$3</xm:f>
          </x14:formula1>
          <xm:sqref>B93</xm:sqref>
        </x14:dataValidation>
        <x14:dataValidation type="list" allowBlank="1" showInputMessage="1" showErrorMessage="1" xr:uid="{00000000-0002-0000-0000-000003000000}">
          <x14:formula1>
            <xm:f>Lists!$G$2:$G$3</xm:f>
          </x14:formula1>
          <xm:sqref>B129</xm:sqref>
        </x14:dataValidation>
        <x14:dataValidation type="list" allowBlank="1" showInputMessage="1" showErrorMessage="1" xr:uid="{B9C60565-926B-483A-B3F0-35800059DD89}">
          <x14:formula1>
            <xm:f>Lists!$K$2:$K$3</xm:f>
          </x14:formula1>
          <xm:sqref>B67:C67</xm:sqref>
        </x14:dataValidation>
        <x14:dataValidation type="list" allowBlank="1" showInputMessage="1" showErrorMessage="1" xr:uid="{EEE0EE38-0706-4442-9714-C014CB5CD422}">
          <x14:formula1>
            <xm:f>Lists!$M$2:$M$9</xm:f>
          </x14:formula1>
          <xm:sqref>B138:C138</xm:sqref>
        </x14:dataValidation>
        <x14:dataValidation type="list" allowBlank="1" showInputMessage="1" showErrorMessage="1" xr:uid="{2FD00823-EC59-439A-BE93-F5D8F6D2D154}">
          <x14:formula1>
            <xm:f>Lists!$N$9:$N$10</xm:f>
          </x14:formula1>
          <xm:sqref>B139:C139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P274"/>
  <sheetViews>
    <sheetView topLeftCell="A155" zoomScaleNormal="100" workbookViewId="0">
      <selection activeCell="B170" sqref="B170"/>
    </sheetView>
  </sheetViews>
  <sheetFormatPr defaultRowHeight="15"/>
  <cols>
    <col min="1" max="1" width="46.42578125" style="36" customWidth="1"/>
    <col min="2" max="2" width="25" style="35" bestFit="1" customWidth="1"/>
    <col min="3" max="3" width="10" style="36" bestFit="1" customWidth="1"/>
    <col min="4" max="4" width="10.28515625" style="36" bestFit="1" customWidth="1"/>
    <col min="5" max="5" width="10.28515625" style="36" customWidth="1"/>
    <col min="6" max="11" width="10.28515625" customWidth="1"/>
    <col min="12" max="12" width="10.85546875" bestFit="1" customWidth="1"/>
    <col min="15" max="15" width="10.42578125" customWidth="1"/>
    <col min="16" max="16" width="12" bestFit="1" customWidth="1"/>
    <col min="17" max="17" width="9.42578125" customWidth="1"/>
    <col min="18" max="19" width="12" customWidth="1"/>
    <col min="20" max="20" width="11.42578125" customWidth="1"/>
    <col min="29" max="29" width="11" customWidth="1"/>
    <col min="32" max="32" width="12.28515625" customWidth="1"/>
    <col min="56" max="56" width="9.140625" customWidth="1"/>
    <col min="59" max="59" width="9.140625" customWidth="1"/>
  </cols>
  <sheetData>
    <row r="2" spans="1:39">
      <c r="N2" s="21" t="s">
        <v>28</v>
      </c>
      <c r="O2" s="21"/>
      <c r="P2" s="21"/>
      <c r="Q2" s="21"/>
      <c r="R2" s="21"/>
      <c r="S2" s="21"/>
      <c r="T2" s="21"/>
      <c r="U2" s="21"/>
      <c r="V2" s="21"/>
      <c r="W2" s="21"/>
      <c r="X2" s="21"/>
      <c r="Y2" s="21"/>
      <c r="Z2" s="21"/>
      <c r="AA2" s="21"/>
    </row>
    <row r="3" spans="1:39" ht="15.75" thickBot="1">
      <c r="N3" s="21"/>
      <c r="O3" s="21"/>
      <c r="P3" s="21"/>
      <c r="Q3" s="21"/>
      <c r="R3" s="21"/>
      <c r="S3" s="21"/>
      <c r="T3" s="21"/>
      <c r="U3" s="21"/>
      <c r="V3" s="21"/>
      <c r="W3" s="21"/>
      <c r="X3" s="21"/>
      <c r="Y3" s="21"/>
      <c r="Z3" s="21"/>
      <c r="AA3" s="21"/>
    </row>
    <row r="4" spans="1:39">
      <c r="P4" s="283" t="s">
        <v>277</v>
      </c>
      <c r="Q4" s="284"/>
      <c r="R4" s="284"/>
      <c r="S4" s="285"/>
      <c r="T4" s="283" t="s">
        <v>24</v>
      </c>
      <c r="U4" s="284"/>
      <c r="V4" s="284"/>
      <c r="W4" s="285"/>
      <c r="X4" s="283" t="s">
        <v>71</v>
      </c>
      <c r="Y4" s="284"/>
      <c r="Z4" s="284"/>
      <c r="AA4" s="285"/>
      <c r="AB4" s="283" t="s">
        <v>278</v>
      </c>
      <c r="AC4" s="284"/>
      <c r="AD4" s="284"/>
      <c r="AE4" s="285"/>
      <c r="AF4" s="283" t="s">
        <v>279</v>
      </c>
      <c r="AG4" s="284"/>
      <c r="AH4" s="284"/>
      <c r="AI4" s="285"/>
      <c r="AJ4" s="283" t="s">
        <v>280</v>
      </c>
      <c r="AK4" s="284"/>
      <c r="AL4" s="284"/>
      <c r="AM4" s="285"/>
    </row>
    <row r="5" spans="1:39" ht="45">
      <c r="D5" s="46" t="s">
        <v>86</v>
      </c>
      <c r="F5" s="2"/>
      <c r="G5" s="2"/>
      <c r="H5" s="2"/>
      <c r="I5" s="2"/>
      <c r="J5" s="2"/>
      <c r="K5" s="2"/>
      <c r="N5" t="s">
        <v>11</v>
      </c>
      <c r="O5" s="22" t="s">
        <v>25</v>
      </c>
      <c r="P5" s="3" t="s">
        <v>15</v>
      </c>
      <c r="Q5" s="4" t="s">
        <v>14</v>
      </c>
      <c r="R5" s="4" t="s">
        <v>13</v>
      </c>
      <c r="S5" s="5" t="s">
        <v>12</v>
      </c>
      <c r="T5" s="3" t="s">
        <v>15</v>
      </c>
      <c r="U5" s="4" t="s">
        <v>14</v>
      </c>
      <c r="V5" s="4" t="s">
        <v>13</v>
      </c>
      <c r="W5" s="5" t="s">
        <v>12</v>
      </c>
      <c r="X5" s="3" t="s">
        <v>15</v>
      </c>
      <c r="Y5" s="4" t="s">
        <v>14</v>
      </c>
      <c r="Z5" s="4" t="s">
        <v>13</v>
      </c>
      <c r="AA5" s="5" t="s">
        <v>12</v>
      </c>
      <c r="AB5" s="3" t="s">
        <v>15</v>
      </c>
      <c r="AC5" s="4" t="s">
        <v>14</v>
      </c>
      <c r="AD5" s="4" t="s">
        <v>13</v>
      </c>
      <c r="AE5" s="5" t="s">
        <v>12</v>
      </c>
      <c r="AF5" s="3" t="s">
        <v>15</v>
      </c>
      <c r="AG5" s="4" t="s">
        <v>14</v>
      </c>
      <c r="AH5" s="4" t="s">
        <v>13</v>
      </c>
      <c r="AI5" s="5" t="s">
        <v>12</v>
      </c>
      <c r="AJ5" s="3" t="s">
        <v>15</v>
      </c>
      <c r="AK5" s="4" t="s">
        <v>14</v>
      </c>
      <c r="AL5" s="4" t="s">
        <v>13</v>
      </c>
      <c r="AM5" s="5" t="s">
        <v>12</v>
      </c>
    </row>
    <row r="6" spans="1:39">
      <c r="A6" s="293" t="s">
        <v>107</v>
      </c>
      <c r="B6" s="293"/>
      <c r="C6" s="293"/>
      <c r="E6" s="69" t="s">
        <v>269</v>
      </c>
      <c r="N6">
        <v>0</v>
      </c>
      <c r="O6">
        <f t="shared" ref="O6:O37" si="0">N6/Rcs</f>
        <v>0</v>
      </c>
      <c r="P6" s="6">
        <f t="shared" ref="P6:P37" si="1">IF($O6&lt;((V48_Min-V12_Nom)*V12_Nom)/((2*Lm*Fsw)*V48_Min),SQRT((2*$O6*Lm*Fsw*V12_Nom)/(V48_Min*(V48_Min-V12_Nom))),(V12_Nom/V48_Min))</f>
        <v>0</v>
      </c>
      <c r="Q6" s="1">
        <f t="shared" ref="Q6:Q37" si="2">IF($O6&lt;((V48_Min-V12_Nom)*V12_Nom)/((2*Lm*Fsw)*V48_Min),SQRT((2*$O6*Lm*Fsw*V12_Nom)/(V48_Min*(V48_Min-V12_Nom)))*((V48_Min-V12_Nom)/(V12_Nom)),1-(V12_Nom/V48_Min))</f>
        <v>0</v>
      </c>
      <c r="R6" s="1">
        <f t="shared" ref="R6:R37" si="3">IF($O6&lt;((V48_Min-V12_Nom)*V12_Nom)/((2*Lm*Fsw)*V48_Min),(P6/(Fsw*Lm))*(V48_Min-V12_Nom),((P6/(Fsw*Lm))*(V48_Min-V12_Nom)))</f>
        <v>0</v>
      </c>
      <c r="S6" s="7">
        <f t="shared" ref="S6:S37" si="4">IF($O6&lt;((V48_Min-V12_Nom)*V12_Nom)/((2*Lm*Fsw)*V48_Min),(P6/(Fsw*Lm))*(V48_Min-V12_Nom),(R6/2)+$O6)</f>
        <v>0</v>
      </c>
      <c r="T6" s="6">
        <f t="shared" ref="T6:T37" si="5">IF($O6&lt;((V48_Nom-V12_Nom)*V12_Nom)/((2*Lm*Fsw)*V48_Nom),SQRT((2*$O6*Lm*Fsw*V12_Nom)/(V48_Nom*(V48_Nom-V12_Nom))),(V12_Nom/V48_Nom))</f>
        <v>0</v>
      </c>
      <c r="U6" s="1">
        <f t="shared" ref="U6:U37" si="6">IF($O6&lt;((V48_Nom-V12_Nom)*V12_Nom)/((2*Lm*Fsw)*V48_Nom),SQRT((2*$O6*Lm*Fsw*V12_Nom)/(V48_Nom*(V48_Nom-V12_Nom)))*((V48_Nom-V12_Nom)/(V12_Nom)),1-(V12_Nom/V48_Nom))</f>
        <v>0</v>
      </c>
      <c r="V6" s="1">
        <f t="shared" ref="V6:V37" si="7">IF($O6&lt;((V48_Nom-V12_Nom)*V12_Nom)/((2*Lm*Fsw)*V48_Nom),(T6/(Fsw*Lm))*(V48_Nom-V12_Nom),((T6/(Fsw*Lm))*(V48_Nom-V12_Nom)))</f>
        <v>0</v>
      </c>
      <c r="W6" s="7">
        <f t="shared" ref="W6:W37" si="8">IF($O6&lt;((V48_Nom-V12_Nom)*V12_Nom)/((2*Lm*Fsw)*V48_Nom),(T6/(Fsw*Lm))*(V48_Nom-V12_Nom),(V6/2)+$O6)</f>
        <v>0</v>
      </c>
      <c r="X6" s="6">
        <f t="shared" ref="X6:X37" si="9">IF($O6&lt;((V48_Max-V12_Nom)*V12_Nom)/((2*Lm*Fsw)*V48_Max),SQRT((2*$O6*Lm*Fsw*V12_Nom)/(V48_Max*(V48_Max-V12_Nom))),(V12_Nom/V48_Max))</f>
        <v>0</v>
      </c>
      <c r="Y6" s="1">
        <f t="shared" ref="Y6:Y37" si="10">IF($O6&lt;((V48_Max-V12_Nom)*V12_Nom)/((2*Lm*Fsw)*V48_Max),SQRT((2*$O6*Lm*Fsw*V12_Nom)/(V48_Max*(V48_Max-V12_Nom)))*((V48_Max-V12_Nom)/(V12_Nom)),1-(V12_Nom/V48_Max))</f>
        <v>0</v>
      </c>
      <c r="Z6" s="1">
        <f t="shared" ref="Z6:Z37" si="11">IF($O6&lt;((V48_Max-V12_Nom)*V12_Nom)/((2*Lm*Fsw)*V48_Max),(X6/(Fsw*Lm))*(V48_Max-V12_Nom),((X6/(Fsw*Lm))*(V48_Max-V12_Nom)))</f>
        <v>0</v>
      </c>
      <c r="AA6" s="7">
        <f t="shared" ref="AA6:AA37" si="12">IF($O6&lt;((V48_Max-V12_Nom)*V12_Nom)/((2*Lm*Fsw)*V48_Max),(X6/(Fsw*Lm))*(V48_Max-V12_Nom),(Z6/2)+$O6)</f>
        <v>0</v>
      </c>
      <c r="AB6" s="6">
        <f t="shared" ref="AB6:AB37" si="13">IF($O6&lt;((V48_Nom-V12_Min)*V12_Min)/((2*Lm*Fsw)*V48_Nom),SQRT((2*$O6*Lm*Fsw*V12_Min)/(V48_Nom*(V48_Nom-V12_Min))),(V12_Min/V48_Nom))</f>
        <v>0</v>
      </c>
      <c r="AC6" s="1">
        <f t="shared" ref="AC6:AC37" si="14">IF($O6&lt;((V48_Nom-V12_Min)*V12_Min)/((2*Lm*Fsw)*V48_Nom),SQRT((2*$O6*Lm*Fsw*V12_Min)/(V48_Nom*(V48_Nom-V12_Min)))*((V48_Nom-V12_Min)/(V12_Min)),1-(V12_Min/V48_Nom))</f>
        <v>0</v>
      </c>
      <c r="AD6" s="1">
        <f t="shared" ref="AD6:AD37" si="15">IF($O6&lt;((V48_Nom-V12_Min)*V12_Min)/((2*Lm*Fsw)*V48_Nom),(AB6/(Fsw*Lm))*(V48_Nom-V12_Min),((AB6/(Fsw*Lm))*(V48_Nom-V12_Min)))</f>
        <v>0</v>
      </c>
      <c r="AE6" s="7">
        <f t="shared" ref="AE6:AE37" si="16">IF($O6&lt;((V48_Nom-V12_Min)*V12_Min)/((2*Lm*Fsw)*V48_Nom),(AB6/(Fsw*Lm))*(V48_Nom-V12_Min),(AD6/2)+$O6)</f>
        <v>0</v>
      </c>
      <c r="AF6" s="6">
        <f t="shared" ref="AF6:AF56" si="17">IF($O6&lt;((V48_Nom-V12_Nom)*V12_Nom)/((2*Lm*Fsw)*V48_Nom),SQRT((2*$O6*Lm*Fsw*V12_Nom)/(V48_Nom*(V48_Nom-V12_Nom))),(V12_Nom/V48_Nom))</f>
        <v>0</v>
      </c>
      <c r="AG6" s="1">
        <f t="shared" ref="AG6:AG56" si="18">IF($O6&lt;((V48_Nom-V12_Nom)*V12_Nom)/((2*Lm*Fsw)*V48_Nom),SQRT((2*$O6*Lm*Fsw*V12_Nom)/(V48_Nom*(V48_Nom-V12_Nom)))*((V48_Nom-V12_Nom)/(V12_Nom)),1-(V12_Nom/V48_Nom))</f>
        <v>0</v>
      </c>
      <c r="AH6" s="1">
        <f>IF($O6&lt;((V48_Nom-V12_Nom)*V12_Nom)/((2*Lm*Fsw)*V48_Nom),(AF6/(Fsw*Lm))*(V48_Nom-V12_Nom),((AF6/(Fsw*Lm))*(V48_Nom-V12_Nom)))</f>
        <v>0</v>
      </c>
      <c r="AI6" s="7">
        <f>IF($O6&lt;((V48_Nom-V12_Nom)*V12_Nom)/((2*Lm*Fsw)*V48_Nom),(AF6/(Fsw*Lm))*(V48_Nom-V12_Nom),(AH6/2)+$O6)</f>
        <v>0</v>
      </c>
      <c r="AJ6" s="6">
        <f t="shared" ref="AJ6:AJ37" si="19">IF($O6&lt;((V48_Nom-V12_Max)*V12_Max)/((2*Lm*Fsw)*V48_Nom),SQRT((2*$O6*Lm*Fsw*V12_Max)/(V48_Nom*(V48_Nom-V12_Max))),(V12_Max/V48_Nom))</f>
        <v>0</v>
      </c>
      <c r="AK6" s="1">
        <f t="shared" ref="AK6:AK37" si="20">IF($O6&lt;((V48_Nom-V12_Max)*V12_Max)/((2*Lm*Fsw)*V48_Nom),SQRT((2*$O6*Lm*Fsw*V12_Max)/(V48_Nom*(V48_Nom-V12_Max)))*((V48_Nom-V12_Max)/(V12_Max)),1-(V12_Max/V48_Nom))</f>
        <v>0</v>
      </c>
      <c r="AL6" s="1">
        <f t="shared" ref="AL6:AL37" si="21">IF($O6&lt;((V48_Nom-V12_Max)*V12_Max)/((2*Lm*Fsw)*V48_Nom),(AJ6/(Fsw*Lm))*(V48_Nom-V12_Max),((AJ6/(Fsw*Lm))*(V48_Nom-V12_Max)))</f>
        <v>0</v>
      </c>
      <c r="AM6" s="7">
        <f t="shared" ref="AM6:AM37" si="22">IF($O6&lt;((V48_Nom-V12_Max)*V12_Max)/((2*Lm*Fsw)*V48_Nom),(AJ6/(Fsw*Lm))*(V48_Nom-V12_Max),(AL6/2)+$O6)</f>
        <v>0</v>
      </c>
    </row>
    <row r="7" spans="1:39">
      <c r="A7" s="33" t="s">
        <v>99</v>
      </c>
      <c r="B7" s="47">
        <f>Design_Converter!B11</f>
        <v>32</v>
      </c>
      <c r="C7" s="33" t="s">
        <v>1</v>
      </c>
      <c r="D7" s="36">
        <f>IF(OR(B7&lt;Constants!B38,B7&gt;Constants!D38),1,0)</f>
        <v>0</v>
      </c>
      <c r="E7" s="36" t="s">
        <v>108</v>
      </c>
      <c r="I7" s="38"/>
      <c r="J7" t="s">
        <v>115</v>
      </c>
      <c r="N7">
        <v>1E-3</v>
      </c>
      <c r="O7">
        <f t="shared" si="0"/>
        <v>1</v>
      </c>
      <c r="P7" s="6">
        <f t="shared" si="1"/>
        <v>0.15405305784945772</v>
      </c>
      <c r="Q7" s="1">
        <f t="shared" si="2"/>
        <v>0.19068105761786025</v>
      </c>
      <c r="R7" s="1">
        <f t="shared" si="3"/>
        <v>5.8015726041178759</v>
      </c>
      <c r="S7" s="7">
        <f t="shared" si="4"/>
        <v>5.8015726041178759</v>
      </c>
      <c r="T7" s="6">
        <f t="shared" si="5"/>
        <v>9.1158333359329491E-2</v>
      </c>
      <c r="U7" s="1">
        <f t="shared" si="6"/>
        <v>0.21482768071394431</v>
      </c>
      <c r="V7" s="1">
        <f t="shared" si="7"/>
        <v>6.5362464557646902</v>
      </c>
      <c r="W7" s="7">
        <f t="shared" si="8"/>
        <v>6.5362464557646902</v>
      </c>
      <c r="X7" s="6">
        <f t="shared" si="9"/>
        <v>5.6882384118055178E-2</v>
      </c>
      <c r="Y7" s="1">
        <f t="shared" si="10"/>
        <v>0.22951843102180305</v>
      </c>
      <c r="Z7" s="1">
        <f t="shared" si="11"/>
        <v>6.9832203481101791</v>
      </c>
      <c r="AA7" s="7">
        <f t="shared" si="12"/>
        <v>6.9832203481101791</v>
      </c>
      <c r="AB7" s="6">
        <f t="shared" si="13"/>
        <v>8.0794664290272142E-2</v>
      </c>
      <c r="AC7" s="1">
        <f t="shared" si="14"/>
        <v>0.24238399287081641</v>
      </c>
      <c r="AD7" s="1">
        <f t="shared" si="15"/>
        <v>6.1885274775527597</v>
      </c>
      <c r="AE7" s="7">
        <f t="shared" si="16"/>
        <v>6.1885274775527597</v>
      </c>
      <c r="AF7" s="6">
        <f t="shared" si="17"/>
        <v>9.1158333359329491E-2</v>
      </c>
      <c r="AG7" s="1">
        <f t="shared" si="18"/>
        <v>0.21482768071394431</v>
      </c>
      <c r="AH7" s="1">
        <f t="shared" ref="AH7:AH56" si="23">IF($O7&lt;((V48_Nom-V12_Nom)*V12_Nom)/((2*Lm*Fsw)*V48_Nom),(AF7/(Fsw*Lm))*(V48_Nom-V12_Nom),((AF7/(Fsw*Lm))*(V48_Nom-V12_Nom)))</f>
        <v>6.5362464557646902</v>
      </c>
      <c r="AI7" s="7">
        <f t="shared" ref="AI7:AI56" si="24">IF($O7&lt;((V48_Nom-V12_Nom)*V12_Nom)/((2*Lm*Fsw)*V48_Nom),(AF7/(Fsw*Lm))*(V48_Nom-V12_Nom),(AH7/2)+$O7)</f>
        <v>6.5362464557646902</v>
      </c>
      <c r="AJ7" s="6">
        <f t="shared" si="19"/>
        <v>9.8952850725315969E-2</v>
      </c>
      <c r="AK7" s="1">
        <f t="shared" si="20"/>
        <v>0.19790570145063194</v>
      </c>
      <c r="AL7" s="1">
        <f t="shared" si="21"/>
        <v>6.7372153685321514</v>
      </c>
      <c r="AM7" s="7">
        <f t="shared" si="22"/>
        <v>6.7372153685321514</v>
      </c>
    </row>
    <row r="8" spans="1:39">
      <c r="A8" s="33" t="s">
        <v>100</v>
      </c>
      <c r="B8" s="47">
        <f>Design_Converter!B12</f>
        <v>48</v>
      </c>
      <c r="C8" s="33" t="s">
        <v>1</v>
      </c>
      <c r="D8" s="36">
        <f>IF(OR(B8&lt;Constants!B38,B8&gt;Constants!D38),1,0)</f>
        <v>0</v>
      </c>
      <c r="E8" s="36" t="s">
        <v>109</v>
      </c>
      <c r="I8" s="39"/>
      <c r="J8" t="s">
        <v>116</v>
      </c>
      <c r="N8">
        <v>2E-3</v>
      </c>
      <c r="O8">
        <f t="shared" si="0"/>
        <v>2</v>
      </c>
      <c r="P8" s="6">
        <f t="shared" si="1"/>
        <v>0.21786392373575009</v>
      </c>
      <c r="Q8" s="1">
        <f t="shared" si="2"/>
        <v>0.26966373777082353</v>
      </c>
      <c r="R8" s="1">
        <f t="shared" si="3"/>
        <v>8.2046626598356944</v>
      </c>
      <c r="S8" s="7">
        <f t="shared" si="4"/>
        <v>8.2046626598356944</v>
      </c>
      <c r="T8" s="6">
        <f t="shared" si="5"/>
        <v>0.1289173513600915</v>
      </c>
      <c r="U8" s="1">
        <f t="shared" si="6"/>
        <v>0.30381221963881705</v>
      </c>
      <c r="V8" s="1">
        <f t="shared" si="7"/>
        <v>9.2436483847554971</v>
      </c>
      <c r="W8" s="7">
        <f t="shared" si="8"/>
        <v>9.2436483847554971</v>
      </c>
      <c r="X8" s="6">
        <f t="shared" si="9"/>
        <v>8.0443839079869572E-2</v>
      </c>
      <c r="Y8" s="1">
        <f t="shared" si="10"/>
        <v>0.32458807796562755</v>
      </c>
      <c r="Z8" s="1">
        <f t="shared" si="11"/>
        <v>9.8757649253371813</v>
      </c>
      <c r="AA8" s="7">
        <f t="shared" si="12"/>
        <v>9.8757649253371813</v>
      </c>
      <c r="AB8" s="6">
        <f t="shared" si="13"/>
        <v>0.11426091000668406</v>
      </c>
      <c r="AC8" s="1">
        <f t="shared" si="14"/>
        <v>0.34278273002005222</v>
      </c>
      <c r="AD8" s="1">
        <f t="shared" si="15"/>
        <v>8.7518994898736739</v>
      </c>
      <c r="AE8" s="7">
        <f t="shared" si="16"/>
        <v>8.7518994898736739</v>
      </c>
      <c r="AF8" s="6">
        <f t="shared" si="17"/>
        <v>0.1289173513600915</v>
      </c>
      <c r="AG8" s="1">
        <f t="shared" si="18"/>
        <v>0.30381221963881705</v>
      </c>
      <c r="AH8" s="1">
        <f t="shared" si="23"/>
        <v>9.2436483847554971</v>
      </c>
      <c r="AI8" s="7">
        <f t="shared" si="24"/>
        <v>9.2436483847554971</v>
      </c>
      <c r="AJ8" s="6">
        <f t="shared" si="19"/>
        <v>0.13994046353122219</v>
      </c>
      <c r="AK8" s="1">
        <f t="shared" si="20"/>
        <v>0.27988092706244438</v>
      </c>
      <c r="AL8" s="1">
        <f t="shared" si="21"/>
        <v>9.5278613468066187</v>
      </c>
      <c r="AM8" s="7">
        <f t="shared" si="22"/>
        <v>9.5278613468066187</v>
      </c>
    </row>
    <row r="9" spans="1:39">
      <c r="A9" s="33" t="s">
        <v>101</v>
      </c>
      <c r="B9" s="47">
        <f>Design_Converter!B13</f>
        <v>72</v>
      </c>
      <c r="C9" s="33" t="s">
        <v>1</v>
      </c>
      <c r="D9" s="36">
        <f>IF(OR(B9&lt;Constants!B38,B9&gt;Constants!D38),1,0)</f>
        <v>0</v>
      </c>
      <c r="E9" s="36" t="s">
        <v>114</v>
      </c>
      <c r="I9" s="40"/>
      <c r="J9" t="s">
        <v>126</v>
      </c>
      <c r="N9">
        <v>3.0000000000000001E-3</v>
      </c>
      <c r="O9">
        <f t="shared" si="0"/>
        <v>3</v>
      </c>
      <c r="P9" s="6">
        <f t="shared" si="1"/>
        <v>0.2668277232566082</v>
      </c>
      <c r="Q9" s="1">
        <f t="shared" si="2"/>
        <v>0.33026927983510246</v>
      </c>
      <c r="R9" s="1">
        <f t="shared" si="3"/>
        <v>10.04861851413184</v>
      </c>
      <c r="S9" s="7">
        <f t="shared" si="4"/>
        <v>10.04861851413184</v>
      </c>
      <c r="T9" s="6">
        <f t="shared" si="5"/>
        <v>0.15789086491165957</v>
      </c>
      <c r="U9" s="1">
        <f t="shared" si="6"/>
        <v>0.37209245786873618</v>
      </c>
      <c r="V9" s="1">
        <f t="shared" si="7"/>
        <v>11.321110952176443</v>
      </c>
      <c r="W9" s="7">
        <f t="shared" si="8"/>
        <v>11.321110952176443</v>
      </c>
      <c r="X9" s="6">
        <f t="shared" si="9"/>
        <v>9.8523179348120563E-2</v>
      </c>
      <c r="Y9" s="1">
        <f t="shared" si="10"/>
        <v>0.39753758380325571</v>
      </c>
      <c r="Z9" s="1">
        <f t="shared" si="11"/>
        <v>12.095292443375653</v>
      </c>
      <c r="AA9" s="7">
        <f t="shared" si="12"/>
        <v>12.095292443375653</v>
      </c>
      <c r="AB9" s="6">
        <f t="shared" si="13"/>
        <v>0.13994046353122222</v>
      </c>
      <c r="AC9" s="1">
        <f t="shared" si="14"/>
        <v>0.41982139059366663</v>
      </c>
      <c r="AD9" s="1">
        <f t="shared" si="15"/>
        <v>10.718844015157448</v>
      </c>
      <c r="AE9" s="7">
        <f t="shared" si="16"/>
        <v>10.718844015157448</v>
      </c>
      <c r="AF9" s="6">
        <f t="shared" si="17"/>
        <v>0.15789086491165957</v>
      </c>
      <c r="AG9" s="1">
        <f t="shared" si="18"/>
        <v>0.37209245786873618</v>
      </c>
      <c r="AH9" s="1">
        <f t="shared" si="23"/>
        <v>11.321110952176443</v>
      </c>
      <c r="AI9" s="7">
        <f t="shared" si="24"/>
        <v>11.321110952176443</v>
      </c>
      <c r="AJ9" s="6">
        <f t="shared" si="19"/>
        <v>0.17139136501002611</v>
      </c>
      <c r="AK9" s="1">
        <f t="shared" si="20"/>
        <v>0.34278273002005222</v>
      </c>
      <c r="AL9" s="1">
        <f t="shared" si="21"/>
        <v>11.669199319831565</v>
      </c>
      <c r="AM9" s="7">
        <f t="shared" si="22"/>
        <v>11.669199319831565</v>
      </c>
    </row>
    <row r="10" spans="1:39">
      <c r="A10" s="293" t="s">
        <v>110</v>
      </c>
      <c r="B10" s="293"/>
      <c r="C10" s="293"/>
      <c r="I10" s="41"/>
      <c r="J10" t="s">
        <v>133</v>
      </c>
      <c r="N10">
        <v>4.0000000000000001E-3</v>
      </c>
      <c r="O10">
        <f t="shared" si="0"/>
        <v>4</v>
      </c>
      <c r="P10" s="6">
        <f t="shared" si="1"/>
        <v>0.30810611569891544</v>
      </c>
      <c r="Q10" s="1">
        <f t="shared" si="2"/>
        <v>0.3813621152357205</v>
      </c>
      <c r="R10" s="1">
        <f t="shared" si="3"/>
        <v>11.603145208235752</v>
      </c>
      <c r="S10" s="7">
        <f t="shared" si="4"/>
        <v>11.603145208235752</v>
      </c>
      <c r="T10" s="6">
        <f t="shared" si="5"/>
        <v>0.18231666671865898</v>
      </c>
      <c r="U10" s="1">
        <f t="shared" si="6"/>
        <v>0.42965536142788863</v>
      </c>
      <c r="V10" s="1">
        <f t="shared" si="7"/>
        <v>13.07249291152938</v>
      </c>
      <c r="W10" s="7">
        <f t="shared" si="8"/>
        <v>13.07249291152938</v>
      </c>
      <c r="X10" s="6">
        <f t="shared" si="9"/>
        <v>0.11376476823611036</v>
      </c>
      <c r="Y10" s="1">
        <f t="shared" si="10"/>
        <v>0.45903686204360611</v>
      </c>
      <c r="Z10" s="1">
        <f t="shared" si="11"/>
        <v>13.966440696220358</v>
      </c>
      <c r="AA10" s="7">
        <f t="shared" si="12"/>
        <v>13.966440696220358</v>
      </c>
      <c r="AB10" s="6">
        <f t="shared" si="13"/>
        <v>0.16158932858054428</v>
      </c>
      <c r="AC10" s="1">
        <f t="shared" si="14"/>
        <v>0.48476798574163282</v>
      </c>
      <c r="AD10" s="1">
        <f t="shared" si="15"/>
        <v>12.377054955105519</v>
      </c>
      <c r="AE10" s="7">
        <f t="shared" si="16"/>
        <v>12.377054955105519</v>
      </c>
      <c r="AF10" s="6">
        <f t="shared" si="17"/>
        <v>0.18231666671865898</v>
      </c>
      <c r="AG10" s="1">
        <f t="shared" si="18"/>
        <v>0.42965536142788863</v>
      </c>
      <c r="AH10" s="1">
        <f t="shared" si="23"/>
        <v>13.07249291152938</v>
      </c>
      <c r="AI10" s="7">
        <f t="shared" si="24"/>
        <v>13.07249291152938</v>
      </c>
      <c r="AJ10" s="6">
        <f t="shared" si="19"/>
        <v>0.19790570145063194</v>
      </c>
      <c r="AK10" s="1">
        <f t="shared" si="20"/>
        <v>0.39581140290126388</v>
      </c>
      <c r="AL10" s="1">
        <f t="shared" si="21"/>
        <v>13.474430737064303</v>
      </c>
      <c r="AM10" s="7">
        <f t="shared" si="22"/>
        <v>13.474430737064303</v>
      </c>
    </row>
    <row r="11" spans="1:39">
      <c r="A11" s="33" t="s">
        <v>72</v>
      </c>
      <c r="B11" s="47">
        <f>Design_Converter!B16</f>
        <v>12</v>
      </c>
      <c r="C11" s="33" t="s">
        <v>1</v>
      </c>
      <c r="D11" s="36">
        <f>IF(OR(B11&lt;Constants!B36,B11&gt;Constants!D36),1,0)</f>
        <v>0</v>
      </c>
      <c r="E11" s="36" t="s">
        <v>111</v>
      </c>
      <c r="N11">
        <v>5.0000000000000001E-3</v>
      </c>
      <c r="O11">
        <f t="shared" si="0"/>
        <v>5</v>
      </c>
      <c r="P11" s="6">
        <f t="shared" si="1"/>
        <v>0.34447310949309495</v>
      </c>
      <c r="Q11" s="1">
        <f t="shared" si="2"/>
        <v>0.42637580685508952</v>
      </c>
      <c r="R11" s="1">
        <f t="shared" si="3"/>
        <v>12.972710719208044</v>
      </c>
      <c r="S11" s="7">
        <f t="shared" si="4"/>
        <v>12.972710719208044</v>
      </c>
      <c r="T11" s="6">
        <f t="shared" si="5"/>
        <v>0.20383623010704749</v>
      </c>
      <c r="U11" s="1">
        <f t="shared" si="6"/>
        <v>0.48036929752500002</v>
      </c>
      <c r="V11" s="1">
        <f t="shared" si="7"/>
        <v>14.615491392781918</v>
      </c>
      <c r="W11" s="7">
        <f t="shared" si="8"/>
        <v>14.615491392781918</v>
      </c>
      <c r="X11" s="6">
        <f t="shared" si="9"/>
        <v>0.1271928776102258</v>
      </c>
      <c r="Y11" s="1">
        <f t="shared" si="10"/>
        <v>0.51321881385384815</v>
      </c>
      <c r="Z11" s="1">
        <f t="shared" si="11"/>
        <v>15.614955400234106</v>
      </c>
      <c r="AA11" s="7">
        <f t="shared" si="12"/>
        <v>15.614955400234106</v>
      </c>
      <c r="AB11" s="6">
        <f t="shared" si="13"/>
        <v>0.18066236157232332</v>
      </c>
      <c r="AC11" s="1">
        <f t="shared" si="14"/>
        <v>0.54198708471696999</v>
      </c>
      <c r="AD11" s="1">
        <f t="shared" si="15"/>
        <v>13.837968120433276</v>
      </c>
      <c r="AE11" s="7">
        <f t="shared" si="16"/>
        <v>13.837968120433276</v>
      </c>
      <c r="AF11" s="6">
        <f t="shared" si="17"/>
        <v>0.20383623010704749</v>
      </c>
      <c r="AG11" s="1">
        <f t="shared" si="18"/>
        <v>0.48036929752500002</v>
      </c>
      <c r="AH11" s="1">
        <f t="shared" si="23"/>
        <v>14.615491392781918</v>
      </c>
      <c r="AI11" s="7">
        <f t="shared" si="24"/>
        <v>14.615491392781918</v>
      </c>
      <c r="AJ11" s="6">
        <f t="shared" si="19"/>
        <v>0.22126530078919587</v>
      </c>
      <c r="AK11" s="1">
        <f t="shared" si="20"/>
        <v>0.44253060157839175</v>
      </c>
      <c r="AL11" s="1">
        <f t="shared" si="21"/>
        <v>15.064871543094188</v>
      </c>
      <c r="AM11" s="7">
        <f t="shared" si="22"/>
        <v>15.064871543094188</v>
      </c>
    </row>
    <row r="12" spans="1:39">
      <c r="A12" s="33" t="s">
        <v>73</v>
      </c>
      <c r="B12" s="47">
        <f>Design_Converter!B17</f>
        <v>14.3</v>
      </c>
      <c r="C12" s="33" t="s">
        <v>1</v>
      </c>
      <c r="D12" s="36">
        <f>IF(OR(B12&lt;Constants!B36,B12&gt;Constants!D36),1,0)</f>
        <v>0</v>
      </c>
      <c r="E12" s="36" t="s">
        <v>112</v>
      </c>
      <c r="N12">
        <v>6.0000000000000001E-3</v>
      </c>
      <c r="O12">
        <f t="shared" si="0"/>
        <v>6</v>
      </c>
      <c r="P12" s="6">
        <f t="shared" si="1"/>
        <v>0.37735138504663024</v>
      </c>
      <c r="Q12" s="1">
        <f t="shared" si="2"/>
        <v>0.46707129477799686</v>
      </c>
      <c r="R12" s="1">
        <f t="shared" si="3"/>
        <v>14.210892585798629</v>
      </c>
      <c r="S12" s="7">
        <f t="shared" si="4"/>
        <v>14.210892585798629</v>
      </c>
      <c r="T12" s="6">
        <f t="shared" si="5"/>
        <v>0.22329140253288721</v>
      </c>
      <c r="U12" s="1">
        <f t="shared" si="6"/>
        <v>0.52621820037470624</v>
      </c>
      <c r="V12" s="1">
        <f t="shared" si="7"/>
        <v>16.01046864969851</v>
      </c>
      <c r="W12" s="7">
        <f t="shared" si="8"/>
        <v>16.01046864969851</v>
      </c>
      <c r="X12" s="6">
        <f t="shared" si="9"/>
        <v>0.13933281644222892</v>
      </c>
      <c r="Y12" s="1">
        <f t="shared" si="10"/>
        <v>0.56220304256759501</v>
      </c>
      <c r="Z12" s="1">
        <f t="shared" si="11"/>
        <v>17.105326614290657</v>
      </c>
      <c r="AA12" s="7">
        <f t="shared" si="12"/>
        <v>17.105326614290657</v>
      </c>
      <c r="AB12" s="6">
        <f t="shared" si="13"/>
        <v>0.19790570145063197</v>
      </c>
      <c r="AC12" s="1">
        <f t="shared" si="14"/>
        <v>0.59371710435189584</v>
      </c>
      <c r="AD12" s="1">
        <f t="shared" si="15"/>
        <v>15.158734579197343</v>
      </c>
      <c r="AE12" s="7">
        <f t="shared" si="16"/>
        <v>15.158734579197343</v>
      </c>
      <c r="AF12" s="6">
        <f t="shared" si="17"/>
        <v>0.22329140253288721</v>
      </c>
      <c r="AG12" s="1">
        <f t="shared" si="18"/>
        <v>0.52621820037470624</v>
      </c>
      <c r="AH12" s="1">
        <f t="shared" si="23"/>
        <v>16.01046864969851</v>
      </c>
      <c r="AI12" s="7">
        <f t="shared" si="24"/>
        <v>16.01046864969851</v>
      </c>
      <c r="AJ12" s="6">
        <f t="shared" si="19"/>
        <v>0.24238399287081647</v>
      </c>
      <c r="AK12" s="1">
        <f t="shared" si="20"/>
        <v>0.48476798574163293</v>
      </c>
      <c r="AL12" s="1">
        <f t="shared" si="21"/>
        <v>16.502739940140696</v>
      </c>
      <c r="AM12" s="7">
        <f t="shared" si="22"/>
        <v>16.502739940140696</v>
      </c>
    </row>
    <row r="13" spans="1:39">
      <c r="A13" s="33" t="s">
        <v>74</v>
      </c>
      <c r="B13" s="47">
        <f>Design_Converter!B18</f>
        <v>16</v>
      </c>
      <c r="C13" s="33" t="s">
        <v>1</v>
      </c>
      <c r="D13" s="36">
        <f>IF(OR(B13&lt;Constants!B36,B13&gt;Constants!D36),1,0)</f>
        <v>0</v>
      </c>
      <c r="E13" s="36" t="s">
        <v>113</v>
      </c>
      <c r="N13">
        <v>7.0000000000000001E-3</v>
      </c>
      <c r="O13">
        <f t="shared" si="0"/>
        <v>7</v>
      </c>
      <c r="P13" s="6">
        <f t="shared" si="1"/>
        <v>0.40758607977871197</v>
      </c>
      <c r="Q13" s="1">
        <f t="shared" si="2"/>
        <v>0.5044946581876365</v>
      </c>
      <c r="R13" s="1">
        <f t="shared" si="3"/>
        <v>15.349518323581281</v>
      </c>
      <c r="S13" s="7">
        <f t="shared" si="4"/>
        <v>15.349518323581281</v>
      </c>
      <c r="T13" s="6">
        <f t="shared" si="5"/>
        <v>0.24118227999990899</v>
      </c>
      <c r="U13" s="1">
        <f t="shared" si="6"/>
        <v>0.56838061790188343</v>
      </c>
      <c r="V13" s="1">
        <f t="shared" si="7"/>
        <v>17.293282629780713</v>
      </c>
      <c r="W13" s="7">
        <f t="shared" si="8"/>
        <v>17.293282629780713</v>
      </c>
      <c r="X13" s="6">
        <f t="shared" si="9"/>
        <v>0.15049664235682414</v>
      </c>
      <c r="Y13" s="1">
        <f t="shared" si="10"/>
        <v>0.60724868978942326</v>
      </c>
      <c r="Z13" s="1">
        <f t="shared" si="11"/>
        <v>18.475864391465432</v>
      </c>
      <c r="AA13" s="7">
        <f t="shared" si="12"/>
        <v>18.475864391465432</v>
      </c>
      <c r="AB13" s="6">
        <f t="shared" si="13"/>
        <v>0.21376258897301101</v>
      </c>
      <c r="AC13" s="1">
        <f t="shared" si="14"/>
        <v>0.641287766919033</v>
      </c>
      <c r="AD13" s="1">
        <f t="shared" si="15"/>
        <v>16.373304687294461</v>
      </c>
      <c r="AE13" s="7">
        <f t="shared" si="16"/>
        <v>16.373304687294461</v>
      </c>
      <c r="AF13" s="6">
        <f t="shared" si="17"/>
        <v>0.24118227999990899</v>
      </c>
      <c r="AG13" s="1">
        <f t="shared" si="18"/>
        <v>0.56838061790188343</v>
      </c>
      <c r="AH13" s="1">
        <f t="shared" si="23"/>
        <v>17.293282629780713</v>
      </c>
      <c r="AI13" s="7">
        <f t="shared" si="24"/>
        <v>17.293282629780713</v>
      </c>
      <c r="AJ13" s="6">
        <f t="shared" si="19"/>
        <v>0.26180463454008346</v>
      </c>
      <c r="AK13" s="1">
        <f t="shared" si="20"/>
        <v>0.52360926908016692</v>
      </c>
      <c r="AL13" s="1">
        <f t="shared" si="21"/>
        <v>17.824996394218449</v>
      </c>
      <c r="AM13" s="7">
        <f t="shared" si="22"/>
        <v>17.824996394218449</v>
      </c>
    </row>
    <row r="14" spans="1:39">
      <c r="A14" s="293" t="s">
        <v>82</v>
      </c>
      <c r="B14" s="293"/>
      <c r="C14" s="293"/>
      <c r="N14">
        <v>8.0000000000000002E-3</v>
      </c>
      <c r="O14">
        <f t="shared" si="0"/>
        <v>8</v>
      </c>
      <c r="P14" s="6">
        <f t="shared" si="1"/>
        <v>0.43572784747150017</v>
      </c>
      <c r="Q14" s="1">
        <f t="shared" si="2"/>
        <v>0.53932747554164706</v>
      </c>
      <c r="R14" s="1">
        <f t="shared" si="3"/>
        <v>16.409325319671389</v>
      </c>
      <c r="S14" s="7">
        <f t="shared" si="4"/>
        <v>16.409325319671389</v>
      </c>
      <c r="T14" s="6">
        <f t="shared" si="5"/>
        <v>0.257834702720183</v>
      </c>
      <c r="U14" s="1">
        <f t="shared" si="6"/>
        <v>0.6076244392776341</v>
      </c>
      <c r="V14" s="1">
        <f t="shared" si="7"/>
        <v>18.487296769510994</v>
      </c>
      <c r="W14" s="7">
        <f t="shared" si="8"/>
        <v>18.487296769510994</v>
      </c>
      <c r="X14" s="6">
        <f t="shared" si="9"/>
        <v>0.16088767815973914</v>
      </c>
      <c r="Y14" s="1">
        <f t="shared" si="10"/>
        <v>0.64917615593125511</v>
      </c>
      <c r="Z14" s="1">
        <f t="shared" si="11"/>
        <v>19.751529850674363</v>
      </c>
      <c r="AA14" s="7">
        <f t="shared" si="12"/>
        <v>19.751529850674363</v>
      </c>
      <c r="AB14" s="6">
        <f t="shared" si="13"/>
        <v>0.22852182001336813</v>
      </c>
      <c r="AC14" s="1">
        <f t="shared" si="14"/>
        <v>0.68556546004010444</v>
      </c>
      <c r="AD14" s="1">
        <f t="shared" si="15"/>
        <v>17.503798979747348</v>
      </c>
      <c r="AE14" s="7">
        <f t="shared" si="16"/>
        <v>17.503798979747348</v>
      </c>
      <c r="AF14" s="6">
        <f t="shared" si="17"/>
        <v>0.257834702720183</v>
      </c>
      <c r="AG14" s="1">
        <f t="shared" si="18"/>
        <v>0.6076244392776341</v>
      </c>
      <c r="AH14" s="1">
        <f t="shared" si="23"/>
        <v>18.487296769510994</v>
      </c>
      <c r="AI14" s="7">
        <f t="shared" si="24"/>
        <v>18.487296769510994</v>
      </c>
      <c r="AJ14" s="6">
        <f t="shared" si="19"/>
        <v>0.27988092706244438</v>
      </c>
      <c r="AK14" s="1">
        <f t="shared" si="20"/>
        <v>0.55976185412488877</v>
      </c>
      <c r="AL14" s="1">
        <f t="shared" si="21"/>
        <v>19.055722693613237</v>
      </c>
      <c r="AM14" s="7">
        <f t="shared" si="22"/>
        <v>19.055722693613237</v>
      </c>
    </row>
    <row r="15" spans="1:39">
      <c r="A15" s="33" t="s">
        <v>117</v>
      </c>
      <c r="B15" s="47">
        <f>Design_Converter!B21*1000</f>
        <v>100000</v>
      </c>
      <c r="C15" s="33" t="s">
        <v>83</v>
      </c>
      <c r="D15" s="36">
        <f>IF(OR(B15&lt;Constants!B39,B15&gt;Constants!D39),1,0)</f>
        <v>0</v>
      </c>
      <c r="E15" s="36" t="s">
        <v>118</v>
      </c>
      <c r="N15">
        <v>8.9999999999999993E-3</v>
      </c>
      <c r="O15">
        <f t="shared" si="0"/>
        <v>9</v>
      </c>
      <c r="P15" s="6">
        <f t="shared" si="1"/>
        <v>0.44687500000000002</v>
      </c>
      <c r="Q15" s="1">
        <f t="shared" si="2"/>
        <v>0.55312499999999998</v>
      </c>
      <c r="R15" s="1">
        <f t="shared" si="3"/>
        <v>16.829122340425535</v>
      </c>
      <c r="S15" s="7">
        <f t="shared" si="4"/>
        <v>17.414561170212767</v>
      </c>
      <c r="T15" s="6">
        <f t="shared" si="5"/>
        <v>0.27347500007798842</v>
      </c>
      <c r="U15" s="1">
        <f t="shared" si="6"/>
        <v>0.64448304214183283</v>
      </c>
      <c r="V15" s="1">
        <f t="shared" si="7"/>
        <v>19.608739367294067</v>
      </c>
      <c r="W15" s="7">
        <f t="shared" si="8"/>
        <v>19.608739367294067</v>
      </c>
      <c r="X15" s="6">
        <f t="shared" si="9"/>
        <v>0.17064715235416553</v>
      </c>
      <c r="Y15" s="1">
        <f t="shared" si="10"/>
        <v>0.68855529306540919</v>
      </c>
      <c r="Z15" s="1">
        <f t="shared" si="11"/>
        <v>20.949661044330536</v>
      </c>
      <c r="AA15" s="7">
        <f t="shared" si="12"/>
        <v>20.949661044330536</v>
      </c>
      <c r="AB15" s="6">
        <f t="shared" si="13"/>
        <v>0.24238399287081644</v>
      </c>
      <c r="AC15" s="1">
        <f t="shared" si="14"/>
        <v>0.72715197861244929</v>
      </c>
      <c r="AD15" s="1">
        <f t="shared" si="15"/>
        <v>18.565582432658282</v>
      </c>
      <c r="AE15" s="7">
        <f t="shared" si="16"/>
        <v>18.565582432658282</v>
      </c>
      <c r="AF15" s="6">
        <f t="shared" si="17"/>
        <v>0.27347500007798842</v>
      </c>
      <c r="AG15" s="1">
        <f t="shared" si="18"/>
        <v>0.64448304214183283</v>
      </c>
      <c r="AH15" s="1">
        <f t="shared" si="23"/>
        <v>19.608739367294067</v>
      </c>
      <c r="AI15" s="7">
        <f t="shared" si="24"/>
        <v>19.608739367294067</v>
      </c>
      <c r="AJ15" s="6">
        <f t="shared" si="19"/>
        <v>0.29685855217594792</v>
      </c>
      <c r="AK15" s="1">
        <f t="shared" si="20"/>
        <v>0.59371710435189584</v>
      </c>
      <c r="AL15" s="1">
        <f t="shared" si="21"/>
        <v>20.211646105596454</v>
      </c>
      <c r="AM15" s="7">
        <f t="shared" si="22"/>
        <v>20.211646105596454</v>
      </c>
    </row>
    <row r="16" spans="1:39">
      <c r="A16" s="33" t="s">
        <v>137</v>
      </c>
      <c r="B16" s="48">
        <f>Constants!C17/(Fsw*1000)</f>
        <v>41.500000000000007</v>
      </c>
      <c r="C16" s="33" t="s">
        <v>39</v>
      </c>
      <c r="D16" s="36" t="s">
        <v>94</v>
      </c>
      <c r="E16" s="36" t="s">
        <v>138</v>
      </c>
      <c r="N16">
        <v>0.01</v>
      </c>
      <c r="O16">
        <f t="shared" si="0"/>
        <v>10</v>
      </c>
      <c r="P16" s="6">
        <f t="shared" si="1"/>
        <v>0.44687500000000002</v>
      </c>
      <c r="Q16" s="1">
        <f t="shared" si="2"/>
        <v>0.55312499999999998</v>
      </c>
      <c r="R16" s="1">
        <f t="shared" si="3"/>
        <v>16.829122340425535</v>
      </c>
      <c r="S16" s="7">
        <f t="shared" si="4"/>
        <v>18.414561170212767</v>
      </c>
      <c r="T16" s="6">
        <f t="shared" si="5"/>
        <v>0.28826796112038955</v>
      </c>
      <c r="U16" s="1">
        <f t="shared" si="6"/>
        <v>0.67934477550749151</v>
      </c>
      <c r="V16" s="1">
        <f t="shared" si="7"/>
        <v>20.669426148419422</v>
      </c>
      <c r="W16" s="7">
        <f t="shared" si="8"/>
        <v>20.669426148419422</v>
      </c>
      <c r="X16" s="6">
        <f t="shared" si="9"/>
        <v>0.1798778925536425</v>
      </c>
      <c r="Y16" s="1">
        <f t="shared" si="10"/>
        <v>0.72580100701714489</v>
      </c>
      <c r="Z16" s="1">
        <f t="shared" si="11"/>
        <v>22.082881702862071</v>
      </c>
      <c r="AA16" s="7">
        <f t="shared" si="12"/>
        <v>22.082881702862071</v>
      </c>
      <c r="AB16" s="6">
        <f t="shared" si="13"/>
        <v>0.25</v>
      </c>
      <c r="AC16" s="1">
        <f t="shared" si="14"/>
        <v>0.75</v>
      </c>
      <c r="AD16" s="1">
        <f t="shared" si="15"/>
        <v>19.148936170212764</v>
      </c>
      <c r="AE16" s="7">
        <f t="shared" si="16"/>
        <v>19.574468085106382</v>
      </c>
      <c r="AF16" s="6">
        <f t="shared" si="17"/>
        <v>0.28826796112038955</v>
      </c>
      <c r="AG16" s="1">
        <f t="shared" si="18"/>
        <v>0.67934477550749151</v>
      </c>
      <c r="AH16" s="1">
        <f t="shared" si="23"/>
        <v>20.669426148419422</v>
      </c>
      <c r="AI16" s="7">
        <f t="shared" si="24"/>
        <v>20.669426148419422</v>
      </c>
      <c r="AJ16" s="6">
        <f t="shared" si="19"/>
        <v>0.31291638925864312</v>
      </c>
      <c r="AK16" s="1">
        <f t="shared" si="20"/>
        <v>0.62583277851728625</v>
      </c>
      <c r="AL16" s="1">
        <f t="shared" si="21"/>
        <v>21.3049456516523</v>
      </c>
      <c r="AM16" s="7">
        <f t="shared" si="22"/>
        <v>21.3049456516523</v>
      </c>
    </row>
    <row r="17" spans="1:39">
      <c r="A17" s="33" t="s">
        <v>84</v>
      </c>
      <c r="B17" s="49">
        <f>(1-(V12_Max/V48_Min))/Fsw</f>
        <v>5.0000000000000004E-6</v>
      </c>
      <c r="C17" s="33" t="s">
        <v>23</v>
      </c>
      <c r="D17" s="36">
        <f>IF(B17&lt;Constants!C3,1,0)</f>
        <v>0</v>
      </c>
      <c r="N17">
        <v>1.0999999999999999E-2</v>
      </c>
      <c r="O17">
        <f t="shared" si="0"/>
        <v>11</v>
      </c>
      <c r="P17" s="6">
        <f t="shared" si="1"/>
        <v>0.44687500000000002</v>
      </c>
      <c r="Q17" s="1">
        <f t="shared" si="2"/>
        <v>0.55312499999999998</v>
      </c>
      <c r="R17" s="1">
        <f t="shared" si="3"/>
        <v>16.829122340425535</v>
      </c>
      <c r="S17" s="7">
        <f t="shared" si="4"/>
        <v>19.414561170212767</v>
      </c>
      <c r="T17" s="6">
        <f t="shared" si="5"/>
        <v>0.29791666666666666</v>
      </c>
      <c r="U17" s="1">
        <f t="shared" si="6"/>
        <v>0.70208333333333339</v>
      </c>
      <c r="V17" s="1">
        <f t="shared" si="7"/>
        <v>21.361258865248228</v>
      </c>
      <c r="W17" s="7">
        <f t="shared" si="8"/>
        <v>21.680629432624116</v>
      </c>
      <c r="X17" s="6">
        <f t="shared" si="9"/>
        <v>0.18865752530046009</v>
      </c>
      <c r="Y17" s="1">
        <f t="shared" si="10"/>
        <v>0.76122651817038789</v>
      </c>
      <c r="Z17" s="1">
        <f t="shared" si="11"/>
        <v>23.160721723056486</v>
      </c>
      <c r="AA17" s="7">
        <f t="shared" si="12"/>
        <v>23.160721723056486</v>
      </c>
      <c r="AB17" s="6">
        <f t="shared" si="13"/>
        <v>0.25</v>
      </c>
      <c r="AC17" s="1">
        <f t="shared" si="14"/>
        <v>0.75</v>
      </c>
      <c r="AD17" s="1">
        <f t="shared" si="15"/>
        <v>19.148936170212764</v>
      </c>
      <c r="AE17" s="7">
        <f t="shared" si="16"/>
        <v>20.574468085106382</v>
      </c>
      <c r="AF17" s="6">
        <f t="shared" si="17"/>
        <v>0.29791666666666666</v>
      </c>
      <c r="AG17" s="1">
        <f t="shared" si="18"/>
        <v>0.70208333333333339</v>
      </c>
      <c r="AH17" s="1">
        <f t="shared" si="23"/>
        <v>21.361258865248228</v>
      </c>
      <c r="AI17" s="7">
        <f t="shared" si="24"/>
        <v>21.680629432624116</v>
      </c>
      <c r="AJ17" s="6">
        <f t="shared" si="19"/>
        <v>0.32818947779192026</v>
      </c>
      <c r="AK17" s="1">
        <f t="shared" si="20"/>
        <v>0.65637895558384052</v>
      </c>
      <c r="AL17" s="1">
        <f t="shared" si="21"/>
        <v>22.344815509237126</v>
      </c>
      <c r="AM17" s="7">
        <f t="shared" si="22"/>
        <v>22.344815509237126</v>
      </c>
    </row>
    <row r="18" spans="1:39">
      <c r="A18" s="33" t="s">
        <v>85</v>
      </c>
      <c r="B18" s="49">
        <f>(V12_Min/V48_Max)/Fsw</f>
        <v>1.6666666666666667E-6</v>
      </c>
      <c r="C18" s="33" t="s">
        <v>23</v>
      </c>
      <c r="D18" s="36">
        <f>IF(B18&lt;Constants!C3,1,0)</f>
        <v>0</v>
      </c>
      <c r="N18">
        <v>1.2E-2</v>
      </c>
      <c r="O18">
        <f t="shared" si="0"/>
        <v>12</v>
      </c>
      <c r="P18" s="6">
        <f t="shared" si="1"/>
        <v>0.44687500000000002</v>
      </c>
      <c r="Q18" s="1">
        <f t="shared" si="2"/>
        <v>0.55312499999999998</v>
      </c>
      <c r="R18" s="1">
        <f t="shared" si="3"/>
        <v>16.829122340425535</v>
      </c>
      <c r="S18" s="7">
        <f t="shared" si="4"/>
        <v>20.414561170212767</v>
      </c>
      <c r="T18" s="6">
        <f t="shared" si="5"/>
        <v>0.29791666666666666</v>
      </c>
      <c r="U18" s="1">
        <f t="shared" si="6"/>
        <v>0.70208333333333339</v>
      </c>
      <c r="V18" s="1">
        <f t="shared" si="7"/>
        <v>21.361258865248228</v>
      </c>
      <c r="W18" s="7">
        <f t="shared" si="8"/>
        <v>22.680629432624116</v>
      </c>
      <c r="X18" s="6">
        <f t="shared" si="9"/>
        <v>0.19704635869624113</v>
      </c>
      <c r="Y18" s="1">
        <f t="shared" si="10"/>
        <v>0.79507516760651142</v>
      </c>
      <c r="Z18" s="1">
        <f t="shared" si="11"/>
        <v>24.190584886751306</v>
      </c>
      <c r="AA18" s="7">
        <f t="shared" si="12"/>
        <v>24.190584886751306</v>
      </c>
      <c r="AB18" s="6">
        <f t="shared" si="13"/>
        <v>0.25</v>
      </c>
      <c r="AC18" s="1">
        <f t="shared" si="14"/>
        <v>0.75</v>
      </c>
      <c r="AD18" s="1">
        <f t="shared" si="15"/>
        <v>19.148936170212764</v>
      </c>
      <c r="AE18" s="7">
        <f t="shared" si="16"/>
        <v>21.574468085106382</v>
      </c>
      <c r="AF18" s="6">
        <f t="shared" si="17"/>
        <v>0.29791666666666666</v>
      </c>
      <c r="AG18" s="1">
        <f t="shared" si="18"/>
        <v>0.70208333333333339</v>
      </c>
      <c r="AH18" s="1">
        <f t="shared" si="23"/>
        <v>21.361258865248228</v>
      </c>
      <c r="AI18" s="7">
        <f t="shared" si="24"/>
        <v>22.680629432624116</v>
      </c>
      <c r="AJ18" s="6">
        <f t="shared" si="19"/>
        <v>0.33333333333333331</v>
      </c>
      <c r="AK18" s="1">
        <f t="shared" si="20"/>
        <v>0.66666666666666674</v>
      </c>
      <c r="AL18" s="1">
        <f t="shared" si="21"/>
        <v>22.695035460992909</v>
      </c>
      <c r="AM18" s="7">
        <f t="shared" si="22"/>
        <v>23.347517730496456</v>
      </c>
    </row>
    <row r="19" spans="1:39">
      <c r="N19">
        <v>1.2999999999999999E-2</v>
      </c>
      <c r="O19">
        <f t="shared" si="0"/>
        <v>13</v>
      </c>
      <c r="P19" s="6">
        <f t="shared" si="1"/>
        <v>0.44687500000000002</v>
      </c>
      <c r="Q19" s="1">
        <f t="shared" si="2"/>
        <v>0.55312499999999998</v>
      </c>
      <c r="R19" s="1">
        <f t="shared" si="3"/>
        <v>16.829122340425535</v>
      </c>
      <c r="S19" s="7">
        <f t="shared" si="4"/>
        <v>21.414561170212767</v>
      </c>
      <c r="T19" s="6">
        <f t="shared" si="5"/>
        <v>0.29791666666666666</v>
      </c>
      <c r="U19" s="1">
        <f t="shared" si="6"/>
        <v>0.70208333333333339</v>
      </c>
      <c r="V19" s="1">
        <f t="shared" si="7"/>
        <v>21.361258865248228</v>
      </c>
      <c r="W19" s="7">
        <f t="shared" si="8"/>
        <v>23.680629432624116</v>
      </c>
      <c r="X19" s="6">
        <f t="shared" si="9"/>
        <v>0.19861111111111113</v>
      </c>
      <c r="Y19" s="1">
        <f t="shared" si="10"/>
        <v>0.80138888888888893</v>
      </c>
      <c r="Z19" s="1">
        <f t="shared" si="11"/>
        <v>24.382683215130029</v>
      </c>
      <c r="AA19" s="7">
        <f t="shared" si="12"/>
        <v>25.191341607565015</v>
      </c>
      <c r="AB19" s="6">
        <f t="shared" si="13"/>
        <v>0.25</v>
      </c>
      <c r="AC19" s="1">
        <f t="shared" si="14"/>
        <v>0.75</v>
      </c>
      <c r="AD19" s="1">
        <f t="shared" si="15"/>
        <v>19.148936170212764</v>
      </c>
      <c r="AE19" s="7">
        <f t="shared" si="16"/>
        <v>22.574468085106382</v>
      </c>
      <c r="AF19" s="6">
        <f t="shared" si="17"/>
        <v>0.29791666666666666</v>
      </c>
      <c r="AG19" s="1">
        <f t="shared" si="18"/>
        <v>0.70208333333333339</v>
      </c>
      <c r="AH19" s="1">
        <f t="shared" si="23"/>
        <v>21.361258865248228</v>
      </c>
      <c r="AI19" s="7">
        <f t="shared" si="24"/>
        <v>23.680629432624116</v>
      </c>
      <c r="AJ19" s="6">
        <f t="shared" si="19"/>
        <v>0.33333333333333331</v>
      </c>
      <c r="AK19" s="1">
        <f t="shared" si="20"/>
        <v>0.66666666666666674</v>
      </c>
      <c r="AL19" s="1">
        <f t="shared" si="21"/>
        <v>22.695035460992909</v>
      </c>
      <c r="AM19" s="7">
        <f t="shared" si="22"/>
        <v>24.347517730496456</v>
      </c>
    </row>
    <row r="20" spans="1:39">
      <c r="N20">
        <v>1.4E-2</v>
      </c>
      <c r="O20">
        <f t="shared" si="0"/>
        <v>14</v>
      </c>
      <c r="P20" s="6">
        <f t="shared" si="1"/>
        <v>0.44687500000000002</v>
      </c>
      <c r="Q20" s="1">
        <f t="shared" si="2"/>
        <v>0.55312499999999998</v>
      </c>
      <c r="R20" s="1">
        <f t="shared" si="3"/>
        <v>16.829122340425535</v>
      </c>
      <c r="S20" s="7">
        <f t="shared" si="4"/>
        <v>22.414561170212767</v>
      </c>
      <c r="T20" s="6">
        <f t="shared" si="5"/>
        <v>0.29791666666666666</v>
      </c>
      <c r="U20" s="1">
        <f t="shared" si="6"/>
        <v>0.70208333333333339</v>
      </c>
      <c r="V20" s="1">
        <f t="shared" si="7"/>
        <v>21.361258865248228</v>
      </c>
      <c r="W20" s="7">
        <f t="shared" si="8"/>
        <v>24.680629432624116</v>
      </c>
      <c r="X20" s="6">
        <f t="shared" si="9"/>
        <v>0.19861111111111113</v>
      </c>
      <c r="Y20" s="1">
        <f t="shared" si="10"/>
        <v>0.80138888888888893</v>
      </c>
      <c r="Z20" s="1">
        <f t="shared" si="11"/>
        <v>24.382683215130029</v>
      </c>
      <c r="AA20" s="7">
        <f t="shared" si="12"/>
        <v>26.191341607565015</v>
      </c>
      <c r="AB20" s="6">
        <f t="shared" si="13"/>
        <v>0.25</v>
      </c>
      <c r="AC20" s="1">
        <f t="shared" si="14"/>
        <v>0.75</v>
      </c>
      <c r="AD20" s="1">
        <f t="shared" si="15"/>
        <v>19.148936170212764</v>
      </c>
      <c r="AE20" s="7">
        <f t="shared" si="16"/>
        <v>23.574468085106382</v>
      </c>
      <c r="AF20" s="6">
        <f t="shared" si="17"/>
        <v>0.29791666666666666</v>
      </c>
      <c r="AG20" s="1">
        <f t="shared" si="18"/>
        <v>0.70208333333333339</v>
      </c>
      <c r="AH20" s="1">
        <f t="shared" si="23"/>
        <v>21.361258865248228</v>
      </c>
      <c r="AI20" s="7">
        <f t="shared" si="24"/>
        <v>24.680629432624116</v>
      </c>
      <c r="AJ20" s="6">
        <f t="shared" si="19"/>
        <v>0.33333333333333331</v>
      </c>
      <c r="AK20" s="1">
        <f t="shared" si="20"/>
        <v>0.66666666666666674</v>
      </c>
      <c r="AL20" s="1">
        <f t="shared" si="21"/>
        <v>22.695035460992909</v>
      </c>
      <c r="AM20" s="7">
        <f t="shared" si="22"/>
        <v>25.347517730496456</v>
      </c>
    </row>
    <row r="21" spans="1:39">
      <c r="A21" s="297" t="s">
        <v>119</v>
      </c>
      <c r="B21" s="298"/>
      <c r="C21" s="299"/>
      <c r="N21">
        <v>1.4999999999999999E-2</v>
      </c>
      <c r="O21">
        <f t="shared" si="0"/>
        <v>15</v>
      </c>
      <c r="P21" s="6">
        <f t="shared" si="1"/>
        <v>0.44687500000000002</v>
      </c>
      <c r="Q21" s="1">
        <f t="shared" si="2"/>
        <v>0.55312499999999998</v>
      </c>
      <c r="R21" s="1">
        <f t="shared" si="3"/>
        <v>16.829122340425535</v>
      </c>
      <c r="S21" s="7">
        <f t="shared" si="4"/>
        <v>23.414561170212767</v>
      </c>
      <c r="T21" s="6">
        <f t="shared" si="5"/>
        <v>0.29791666666666666</v>
      </c>
      <c r="U21" s="1">
        <f t="shared" si="6"/>
        <v>0.70208333333333339</v>
      </c>
      <c r="V21" s="1">
        <f t="shared" si="7"/>
        <v>21.361258865248228</v>
      </c>
      <c r="W21" s="7">
        <f t="shared" si="8"/>
        <v>25.680629432624116</v>
      </c>
      <c r="X21" s="6">
        <f t="shared" si="9"/>
        <v>0.19861111111111113</v>
      </c>
      <c r="Y21" s="1">
        <f t="shared" si="10"/>
        <v>0.80138888888888893</v>
      </c>
      <c r="Z21" s="1">
        <f t="shared" si="11"/>
        <v>24.382683215130029</v>
      </c>
      <c r="AA21" s="7">
        <f t="shared" si="12"/>
        <v>27.191341607565015</v>
      </c>
      <c r="AB21" s="6">
        <f t="shared" si="13"/>
        <v>0.25</v>
      </c>
      <c r="AC21" s="1">
        <f t="shared" si="14"/>
        <v>0.75</v>
      </c>
      <c r="AD21" s="1">
        <f t="shared" si="15"/>
        <v>19.148936170212764</v>
      </c>
      <c r="AE21" s="7">
        <f t="shared" si="16"/>
        <v>24.574468085106382</v>
      </c>
      <c r="AF21" s="6">
        <f t="shared" si="17"/>
        <v>0.29791666666666666</v>
      </c>
      <c r="AG21" s="1">
        <f t="shared" si="18"/>
        <v>0.70208333333333339</v>
      </c>
      <c r="AH21" s="1">
        <f t="shared" si="23"/>
        <v>21.361258865248228</v>
      </c>
      <c r="AI21" s="7">
        <f t="shared" si="24"/>
        <v>25.680629432624116</v>
      </c>
      <c r="AJ21" s="6">
        <f t="shared" si="19"/>
        <v>0.33333333333333331</v>
      </c>
      <c r="AK21" s="1">
        <f t="shared" si="20"/>
        <v>0.66666666666666674</v>
      </c>
      <c r="AL21" s="1">
        <f t="shared" si="21"/>
        <v>22.695035460992909</v>
      </c>
      <c r="AM21" s="7">
        <f t="shared" si="22"/>
        <v>26.347517730496456</v>
      </c>
    </row>
    <row r="22" spans="1:39">
      <c r="A22" s="33" t="s">
        <v>44</v>
      </c>
      <c r="B22" s="47">
        <f>Design_Converter!B26</f>
        <v>60</v>
      </c>
      <c r="C22" s="62" t="s">
        <v>4</v>
      </c>
      <c r="N22">
        <v>1.6E-2</v>
      </c>
      <c r="O22">
        <f t="shared" si="0"/>
        <v>16</v>
      </c>
      <c r="P22" s="6">
        <f t="shared" si="1"/>
        <v>0.44687500000000002</v>
      </c>
      <c r="Q22" s="1">
        <f t="shared" si="2"/>
        <v>0.55312499999999998</v>
      </c>
      <c r="R22" s="1">
        <f t="shared" si="3"/>
        <v>16.829122340425535</v>
      </c>
      <c r="S22" s="7">
        <f t="shared" si="4"/>
        <v>24.414561170212767</v>
      </c>
      <c r="T22" s="6">
        <f t="shared" si="5"/>
        <v>0.29791666666666666</v>
      </c>
      <c r="U22" s="1">
        <f t="shared" si="6"/>
        <v>0.70208333333333339</v>
      </c>
      <c r="V22" s="1">
        <f t="shared" si="7"/>
        <v>21.361258865248228</v>
      </c>
      <c r="W22" s="7">
        <f t="shared" si="8"/>
        <v>26.680629432624116</v>
      </c>
      <c r="X22" s="6">
        <f t="shared" si="9"/>
        <v>0.19861111111111113</v>
      </c>
      <c r="Y22" s="1">
        <f t="shared" si="10"/>
        <v>0.80138888888888893</v>
      </c>
      <c r="Z22" s="1">
        <f t="shared" si="11"/>
        <v>24.382683215130029</v>
      </c>
      <c r="AA22" s="7">
        <f t="shared" si="12"/>
        <v>28.191341607565015</v>
      </c>
      <c r="AB22" s="6">
        <f t="shared" si="13"/>
        <v>0.25</v>
      </c>
      <c r="AC22" s="1">
        <f t="shared" si="14"/>
        <v>0.75</v>
      </c>
      <c r="AD22" s="1">
        <f t="shared" si="15"/>
        <v>19.148936170212764</v>
      </c>
      <c r="AE22" s="7">
        <f t="shared" si="16"/>
        <v>25.574468085106382</v>
      </c>
      <c r="AF22" s="6">
        <f t="shared" si="17"/>
        <v>0.29791666666666666</v>
      </c>
      <c r="AG22" s="1">
        <f t="shared" si="18"/>
        <v>0.70208333333333339</v>
      </c>
      <c r="AH22" s="1">
        <f t="shared" si="23"/>
        <v>21.361258865248228</v>
      </c>
      <c r="AI22" s="7">
        <f t="shared" si="24"/>
        <v>26.680629432624116</v>
      </c>
      <c r="AJ22" s="6">
        <f t="shared" si="19"/>
        <v>0.33333333333333331</v>
      </c>
      <c r="AK22" s="1">
        <f t="shared" si="20"/>
        <v>0.66666666666666674</v>
      </c>
      <c r="AL22" s="1">
        <f t="shared" si="21"/>
        <v>22.695035460992909</v>
      </c>
      <c r="AM22" s="7">
        <f t="shared" si="22"/>
        <v>27.347517730496456</v>
      </c>
    </row>
    <row r="23" spans="1:39">
      <c r="A23" s="33" t="s">
        <v>120</v>
      </c>
      <c r="B23" s="48"/>
      <c r="C23" s="33" t="s">
        <v>4</v>
      </c>
      <c r="E23" s="36" t="s">
        <v>121</v>
      </c>
      <c r="N23">
        <v>1.7000000000000001E-2</v>
      </c>
      <c r="O23">
        <f t="shared" si="0"/>
        <v>17</v>
      </c>
      <c r="P23" s="6">
        <f t="shared" si="1"/>
        <v>0.44687500000000002</v>
      </c>
      <c r="Q23" s="1">
        <f t="shared" si="2"/>
        <v>0.55312499999999998</v>
      </c>
      <c r="R23" s="1">
        <f t="shared" si="3"/>
        <v>16.829122340425535</v>
      </c>
      <c r="S23" s="7">
        <f t="shared" si="4"/>
        <v>25.414561170212767</v>
      </c>
      <c r="T23" s="6">
        <f t="shared" si="5"/>
        <v>0.29791666666666666</v>
      </c>
      <c r="U23" s="1">
        <f t="shared" si="6"/>
        <v>0.70208333333333339</v>
      </c>
      <c r="V23" s="1">
        <f t="shared" si="7"/>
        <v>21.361258865248228</v>
      </c>
      <c r="W23" s="7">
        <f t="shared" si="8"/>
        <v>27.680629432624116</v>
      </c>
      <c r="X23" s="6">
        <f t="shared" si="9"/>
        <v>0.19861111111111113</v>
      </c>
      <c r="Y23" s="1">
        <f t="shared" si="10"/>
        <v>0.80138888888888893</v>
      </c>
      <c r="Z23" s="1">
        <f t="shared" si="11"/>
        <v>24.382683215130029</v>
      </c>
      <c r="AA23" s="7">
        <f t="shared" si="12"/>
        <v>29.191341607565015</v>
      </c>
      <c r="AB23" s="6">
        <f t="shared" si="13"/>
        <v>0.25</v>
      </c>
      <c r="AC23" s="1">
        <f t="shared" si="14"/>
        <v>0.75</v>
      </c>
      <c r="AD23" s="1">
        <f t="shared" si="15"/>
        <v>19.148936170212764</v>
      </c>
      <c r="AE23" s="7">
        <f t="shared" si="16"/>
        <v>26.574468085106382</v>
      </c>
      <c r="AF23" s="6">
        <f t="shared" si="17"/>
        <v>0.29791666666666666</v>
      </c>
      <c r="AG23" s="1">
        <f t="shared" si="18"/>
        <v>0.70208333333333339</v>
      </c>
      <c r="AH23" s="1">
        <f t="shared" si="23"/>
        <v>21.361258865248228</v>
      </c>
      <c r="AI23" s="7">
        <f t="shared" si="24"/>
        <v>27.680629432624116</v>
      </c>
      <c r="AJ23" s="6">
        <f t="shared" si="19"/>
        <v>0.33333333333333331</v>
      </c>
      <c r="AK23" s="1">
        <f t="shared" si="20"/>
        <v>0.66666666666666674</v>
      </c>
      <c r="AL23" s="1">
        <f t="shared" si="21"/>
        <v>22.695035460992909</v>
      </c>
      <c r="AM23" s="7">
        <f t="shared" si="22"/>
        <v>28.347517730496456</v>
      </c>
    </row>
    <row r="24" spans="1:39">
      <c r="A24" s="33" t="s">
        <v>122</v>
      </c>
      <c r="B24" s="47">
        <f>Design_Converter!B25</f>
        <v>2</v>
      </c>
      <c r="C24" s="33"/>
      <c r="E24" s="36" t="s">
        <v>123</v>
      </c>
      <c r="N24">
        <v>1.7999999999999999E-2</v>
      </c>
      <c r="O24">
        <f t="shared" si="0"/>
        <v>18</v>
      </c>
      <c r="P24" s="6">
        <f t="shared" si="1"/>
        <v>0.44687500000000002</v>
      </c>
      <c r="Q24" s="1">
        <f t="shared" si="2"/>
        <v>0.55312499999999998</v>
      </c>
      <c r="R24" s="1">
        <f t="shared" si="3"/>
        <v>16.829122340425535</v>
      </c>
      <c r="S24" s="7">
        <f t="shared" si="4"/>
        <v>26.414561170212767</v>
      </c>
      <c r="T24" s="6">
        <f t="shared" si="5"/>
        <v>0.29791666666666666</v>
      </c>
      <c r="U24" s="1">
        <f t="shared" si="6"/>
        <v>0.70208333333333339</v>
      </c>
      <c r="V24" s="1">
        <f t="shared" si="7"/>
        <v>21.361258865248228</v>
      </c>
      <c r="W24" s="7">
        <f t="shared" si="8"/>
        <v>28.680629432624116</v>
      </c>
      <c r="X24" s="6">
        <f t="shared" si="9"/>
        <v>0.19861111111111113</v>
      </c>
      <c r="Y24" s="1">
        <f t="shared" si="10"/>
        <v>0.80138888888888893</v>
      </c>
      <c r="Z24" s="1">
        <f t="shared" si="11"/>
        <v>24.382683215130029</v>
      </c>
      <c r="AA24" s="7">
        <f t="shared" si="12"/>
        <v>30.191341607565015</v>
      </c>
      <c r="AB24" s="6">
        <f t="shared" si="13"/>
        <v>0.25</v>
      </c>
      <c r="AC24" s="1">
        <f t="shared" si="14"/>
        <v>0.75</v>
      </c>
      <c r="AD24" s="1">
        <f t="shared" si="15"/>
        <v>19.148936170212764</v>
      </c>
      <c r="AE24" s="7">
        <f t="shared" si="16"/>
        <v>27.574468085106382</v>
      </c>
      <c r="AF24" s="6">
        <f t="shared" si="17"/>
        <v>0.29791666666666666</v>
      </c>
      <c r="AG24" s="1">
        <f t="shared" si="18"/>
        <v>0.70208333333333339</v>
      </c>
      <c r="AH24" s="1">
        <f t="shared" si="23"/>
        <v>21.361258865248228</v>
      </c>
      <c r="AI24" s="7">
        <f t="shared" si="24"/>
        <v>28.680629432624116</v>
      </c>
      <c r="AJ24" s="6">
        <f t="shared" si="19"/>
        <v>0.33333333333333331</v>
      </c>
      <c r="AK24" s="1">
        <f t="shared" si="20"/>
        <v>0.66666666666666674</v>
      </c>
      <c r="AL24" s="1">
        <f t="shared" si="21"/>
        <v>22.695035460992909</v>
      </c>
      <c r="AM24" s="7">
        <f t="shared" si="22"/>
        <v>29.347517730496456</v>
      </c>
    </row>
    <row r="25" spans="1:39">
      <c r="A25" s="33" t="s">
        <v>131</v>
      </c>
      <c r="B25" s="48">
        <f>B22/B24</f>
        <v>30</v>
      </c>
      <c r="C25" s="33" t="s">
        <v>4</v>
      </c>
      <c r="E25" s="36" t="s">
        <v>164</v>
      </c>
      <c r="N25">
        <v>1.9E-2</v>
      </c>
      <c r="O25">
        <f t="shared" si="0"/>
        <v>19</v>
      </c>
      <c r="P25" s="6">
        <f t="shared" si="1"/>
        <v>0.44687500000000002</v>
      </c>
      <c r="Q25" s="1">
        <f t="shared" si="2"/>
        <v>0.55312499999999998</v>
      </c>
      <c r="R25" s="1">
        <f t="shared" si="3"/>
        <v>16.829122340425535</v>
      </c>
      <c r="S25" s="7">
        <f t="shared" si="4"/>
        <v>27.414561170212767</v>
      </c>
      <c r="T25" s="6">
        <f t="shared" si="5"/>
        <v>0.29791666666666666</v>
      </c>
      <c r="U25" s="1">
        <f t="shared" si="6"/>
        <v>0.70208333333333339</v>
      </c>
      <c r="V25" s="1">
        <f t="shared" si="7"/>
        <v>21.361258865248228</v>
      </c>
      <c r="W25" s="7">
        <f t="shared" si="8"/>
        <v>29.680629432624116</v>
      </c>
      <c r="X25" s="6">
        <f t="shared" si="9"/>
        <v>0.19861111111111113</v>
      </c>
      <c r="Y25" s="1">
        <f t="shared" si="10"/>
        <v>0.80138888888888893</v>
      </c>
      <c r="Z25" s="1">
        <f t="shared" si="11"/>
        <v>24.382683215130029</v>
      </c>
      <c r="AA25" s="7">
        <f t="shared" si="12"/>
        <v>31.191341607565015</v>
      </c>
      <c r="AB25" s="6">
        <f t="shared" si="13"/>
        <v>0.25</v>
      </c>
      <c r="AC25" s="1">
        <f t="shared" si="14"/>
        <v>0.75</v>
      </c>
      <c r="AD25" s="1">
        <f t="shared" si="15"/>
        <v>19.148936170212764</v>
      </c>
      <c r="AE25" s="7">
        <f t="shared" si="16"/>
        <v>28.574468085106382</v>
      </c>
      <c r="AF25" s="6">
        <f t="shared" si="17"/>
        <v>0.29791666666666666</v>
      </c>
      <c r="AG25" s="1">
        <f t="shared" si="18"/>
        <v>0.70208333333333339</v>
      </c>
      <c r="AH25" s="1">
        <f t="shared" si="23"/>
        <v>21.361258865248228</v>
      </c>
      <c r="AI25" s="7">
        <f t="shared" si="24"/>
        <v>29.680629432624116</v>
      </c>
      <c r="AJ25" s="6">
        <f t="shared" si="19"/>
        <v>0.33333333333333331</v>
      </c>
      <c r="AK25" s="1">
        <f t="shared" si="20"/>
        <v>0.66666666666666674</v>
      </c>
      <c r="AL25" s="1">
        <f t="shared" si="21"/>
        <v>22.695035460992909</v>
      </c>
      <c r="AM25" s="7">
        <f t="shared" si="22"/>
        <v>30.347517730496456</v>
      </c>
    </row>
    <row r="26" spans="1:39">
      <c r="A26" s="183" t="s">
        <v>368</v>
      </c>
      <c r="B26" s="47">
        <f>Design_Converter!B27</f>
        <v>17</v>
      </c>
      <c r="C26" s="33" t="s">
        <v>4</v>
      </c>
      <c r="N26">
        <v>0.02</v>
      </c>
      <c r="O26">
        <f t="shared" si="0"/>
        <v>20</v>
      </c>
      <c r="P26" s="6">
        <f t="shared" si="1"/>
        <v>0.44687500000000002</v>
      </c>
      <c r="Q26" s="1">
        <f t="shared" si="2"/>
        <v>0.55312499999999998</v>
      </c>
      <c r="R26" s="1">
        <f t="shared" si="3"/>
        <v>16.829122340425535</v>
      </c>
      <c r="S26" s="7">
        <f t="shared" si="4"/>
        <v>28.414561170212767</v>
      </c>
      <c r="T26" s="6">
        <f t="shared" si="5"/>
        <v>0.29791666666666666</v>
      </c>
      <c r="U26" s="1">
        <f t="shared" si="6"/>
        <v>0.70208333333333339</v>
      </c>
      <c r="V26" s="1">
        <f t="shared" si="7"/>
        <v>21.361258865248228</v>
      </c>
      <c r="W26" s="7">
        <f t="shared" si="8"/>
        <v>30.680629432624116</v>
      </c>
      <c r="X26" s="6">
        <f t="shared" si="9"/>
        <v>0.19861111111111113</v>
      </c>
      <c r="Y26" s="1">
        <f t="shared" si="10"/>
        <v>0.80138888888888893</v>
      </c>
      <c r="Z26" s="1">
        <f t="shared" si="11"/>
        <v>24.382683215130029</v>
      </c>
      <c r="AA26" s="7">
        <f t="shared" si="12"/>
        <v>32.191341607565015</v>
      </c>
      <c r="AB26" s="6">
        <f t="shared" si="13"/>
        <v>0.25</v>
      </c>
      <c r="AC26" s="1">
        <f t="shared" si="14"/>
        <v>0.75</v>
      </c>
      <c r="AD26" s="1">
        <f t="shared" si="15"/>
        <v>19.148936170212764</v>
      </c>
      <c r="AE26" s="7">
        <f t="shared" si="16"/>
        <v>29.574468085106382</v>
      </c>
      <c r="AF26" s="6">
        <f t="shared" si="17"/>
        <v>0.29791666666666666</v>
      </c>
      <c r="AG26" s="1">
        <f t="shared" si="18"/>
        <v>0.70208333333333339</v>
      </c>
      <c r="AH26" s="1">
        <f t="shared" si="23"/>
        <v>21.361258865248228</v>
      </c>
      <c r="AI26" s="7">
        <f t="shared" si="24"/>
        <v>30.680629432624116</v>
      </c>
      <c r="AJ26" s="6">
        <f t="shared" si="19"/>
        <v>0.33333333333333331</v>
      </c>
      <c r="AK26" s="1">
        <f t="shared" si="20"/>
        <v>0.66666666666666674</v>
      </c>
      <c r="AL26" s="1">
        <f t="shared" si="21"/>
        <v>22.695035460992909</v>
      </c>
      <c r="AM26" s="7">
        <f t="shared" si="22"/>
        <v>31.347517730496456</v>
      </c>
    </row>
    <row r="27" spans="1:39">
      <c r="A27" s="183" t="s">
        <v>369</v>
      </c>
      <c r="B27" s="48">
        <f>B26/2</f>
        <v>8.5</v>
      </c>
      <c r="C27" s="33" t="s">
        <v>4</v>
      </c>
      <c r="N27">
        <v>2.1000000000000001E-2</v>
      </c>
      <c r="O27">
        <f t="shared" si="0"/>
        <v>21</v>
      </c>
      <c r="P27" s="6">
        <f t="shared" si="1"/>
        <v>0.44687500000000002</v>
      </c>
      <c r="Q27" s="1">
        <f t="shared" si="2"/>
        <v>0.55312499999999998</v>
      </c>
      <c r="R27" s="1">
        <f t="shared" si="3"/>
        <v>16.829122340425535</v>
      </c>
      <c r="S27" s="7">
        <f t="shared" si="4"/>
        <v>29.414561170212767</v>
      </c>
      <c r="T27" s="6">
        <f t="shared" si="5"/>
        <v>0.29791666666666666</v>
      </c>
      <c r="U27" s="1">
        <f t="shared" si="6"/>
        <v>0.70208333333333339</v>
      </c>
      <c r="V27" s="1">
        <f t="shared" si="7"/>
        <v>21.361258865248228</v>
      </c>
      <c r="W27" s="7">
        <f t="shared" si="8"/>
        <v>31.680629432624116</v>
      </c>
      <c r="X27" s="6">
        <f t="shared" si="9"/>
        <v>0.19861111111111113</v>
      </c>
      <c r="Y27" s="1">
        <f t="shared" si="10"/>
        <v>0.80138888888888893</v>
      </c>
      <c r="Z27" s="1">
        <f t="shared" si="11"/>
        <v>24.382683215130029</v>
      </c>
      <c r="AA27" s="7">
        <f t="shared" si="12"/>
        <v>33.191341607565015</v>
      </c>
      <c r="AB27" s="6">
        <f t="shared" si="13"/>
        <v>0.25</v>
      </c>
      <c r="AC27" s="1">
        <f t="shared" si="14"/>
        <v>0.75</v>
      </c>
      <c r="AD27" s="1">
        <f t="shared" si="15"/>
        <v>19.148936170212764</v>
      </c>
      <c r="AE27" s="7">
        <f t="shared" si="16"/>
        <v>30.574468085106382</v>
      </c>
      <c r="AF27" s="6">
        <f t="shared" si="17"/>
        <v>0.29791666666666666</v>
      </c>
      <c r="AG27" s="1">
        <f t="shared" si="18"/>
        <v>0.70208333333333339</v>
      </c>
      <c r="AH27" s="1">
        <f t="shared" si="23"/>
        <v>21.361258865248228</v>
      </c>
      <c r="AI27" s="7">
        <f t="shared" si="24"/>
        <v>31.680629432624116</v>
      </c>
      <c r="AJ27" s="6">
        <f t="shared" si="19"/>
        <v>0.33333333333333331</v>
      </c>
      <c r="AK27" s="1">
        <f t="shared" si="20"/>
        <v>0.66666666666666674</v>
      </c>
      <c r="AL27" s="1">
        <f t="shared" si="21"/>
        <v>22.695035460992909</v>
      </c>
      <c r="AM27" s="7">
        <f t="shared" si="22"/>
        <v>32.347517730496456</v>
      </c>
    </row>
    <row r="28" spans="1:39">
      <c r="A28" s="183" t="s">
        <v>445</v>
      </c>
      <c r="B28" s="48">
        <f>I_Channel_Design</f>
        <v>30</v>
      </c>
      <c r="C28" s="33" t="s">
        <v>4</v>
      </c>
      <c r="E28" s="36" t="s">
        <v>386</v>
      </c>
      <c r="N28">
        <v>2.1999999999999999E-2</v>
      </c>
      <c r="O28">
        <f t="shared" si="0"/>
        <v>22</v>
      </c>
      <c r="P28" s="6">
        <f t="shared" si="1"/>
        <v>0.44687500000000002</v>
      </c>
      <c r="Q28" s="1">
        <f t="shared" si="2"/>
        <v>0.55312499999999998</v>
      </c>
      <c r="R28" s="1">
        <f t="shared" si="3"/>
        <v>16.829122340425535</v>
      </c>
      <c r="S28" s="7">
        <f t="shared" si="4"/>
        <v>30.414561170212767</v>
      </c>
      <c r="T28" s="6">
        <f t="shared" si="5"/>
        <v>0.29791666666666666</v>
      </c>
      <c r="U28" s="1">
        <f t="shared" si="6"/>
        <v>0.70208333333333339</v>
      </c>
      <c r="V28" s="1">
        <f t="shared" si="7"/>
        <v>21.361258865248228</v>
      </c>
      <c r="W28" s="7">
        <f t="shared" si="8"/>
        <v>32.680629432624116</v>
      </c>
      <c r="X28" s="6">
        <f t="shared" si="9"/>
        <v>0.19861111111111113</v>
      </c>
      <c r="Y28" s="1">
        <f t="shared" si="10"/>
        <v>0.80138888888888893</v>
      </c>
      <c r="Z28" s="1">
        <f t="shared" si="11"/>
        <v>24.382683215130029</v>
      </c>
      <c r="AA28" s="7">
        <f t="shared" si="12"/>
        <v>34.191341607565015</v>
      </c>
      <c r="AB28" s="6">
        <f t="shared" si="13"/>
        <v>0.25</v>
      </c>
      <c r="AC28" s="1">
        <f t="shared" si="14"/>
        <v>0.75</v>
      </c>
      <c r="AD28" s="1">
        <f t="shared" si="15"/>
        <v>19.148936170212764</v>
      </c>
      <c r="AE28" s="7">
        <f t="shared" si="16"/>
        <v>31.574468085106382</v>
      </c>
      <c r="AF28" s="6">
        <f t="shared" si="17"/>
        <v>0.29791666666666666</v>
      </c>
      <c r="AG28" s="1">
        <f t="shared" si="18"/>
        <v>0.70208333333333339</v>
      </c>
      <c r="AH28" s="1">
        <f t="shared" si="23"/>
        <v>21.361258865248228</v>
      </c>
      <c r="AI28" s="7">
        <f t="shared" si="24"/>
        <v>32.680629432624116</v>
      </c>
      <c r="AJ28" s="6">
        <f t="shared" si="19"/>
        <v>0.33333333333333331</v>
      </c>
      <c r="AK28" s="1">
        <f t="shared" si="20"/>
        <v>0.66666666666666674</v>
      </c>
      <c r="AL28" s="1">
        <f t="shared" si="21"/>
        <v>22.695035460992909</v>
      </c>
      <c r="AM28" s="7">
        <f t="shared" si="22"/>
        <v>33.347517730496456</v>
      </c>
    </row>
    <row r="29" spans="1:39">
      <c r="A29" s="33" t="s">
        <v>165</v>
      </c>
      <c r="B29" s="48">
        <f>B25*V12_Nom</f>
        <v>429</v>
      </c>
      <c r="C29" s="33" t="s">
        <v>124</v>
      </c>
      <c r="E29" s="36" t="s">
        <v>166</v>
      </c>
      <c r="N29">
        <v>2.3E-2</v>
      </c>
      <c r="O29">
        <f t="shared" si="0"/>
        <v>23</v>
      </c>
      <c r="P29" s="6">
        <f t="shared" si="1"/>
        <v>0.44687500000000002</v>
      </c>
      <c r="Q29" s="1">
        <f t="shared" si="2"/>
        <v>0.55312499999999998</v>
      </c>
      <c r="R29" s="1">
        <f t="shared" si="3"/>
        <v>16.829122340425535</v>
      </c>
      <c r="S29" s="7">
        <f t="shared" si="4"/>
        <v>31.414561170212767</v>
      </c>
      <c r="T29" s="6">
        <f t="shared" si="5"/>
        <v>0.29791666666666666</v>
      </c>
      <c r="U29" s="1">
        <f t="shared" si="6"/>
        <v>0.70208333333333339</v>
      </c>
      <c r="V29" s="1">
        <f t="shared" si="7"/>
        <v>21.361258865248228</v>
      </c>
      <c r="W29" s="7">
        <f t="shared" si="8"/>
        <v>33.680629432624116</v>
      </c>
      <c r="X29" s="6">
        <f t="shared" si="9"/>
        <v>0.19861111111111113</v>
      </c>
      <c r="Y29" s="1">
        <f t="shared" si="10"/>
        <v>0.80138888888888893</v>
      </c>
      <c r="Z29" s="1">
        <f t="shared" si="11"/>
        <v>24.382683215130029</v>
      </c>
      <c r="AA29" s="7">
        <f t="shared" si="12"/>
        <v>35.191341607565015</v>
      </c>
      <c r="AB29" s="6">
        <f t="shared" si="13"/>
        <v>0.25</v>
      </c>
      <c r="AC29" s="1">
        <f t="shared" si="14"/>
        <v>0.75</v>
      </c>
      <c r="AD29" s="1">
        <f t="shared" si="15"/>
        <v>19.148936170212764</v>
      </c>
      <c r="AE29" s="7">
        <f t="shared" si="16"/>
        <v>32.574468085106382</v>
      </c>
      <c r="AF29" s="6">
        <f t="shared" si="17"/>
        <v>0.29791666666666666</v>
      </c>
      <c r="AG29" s="1">
        <f t="shared" si="18"/>
        <v>0.70208333333333339</v>
      </c>
      <c r="AH29" s="1">
        <f t="shared" si="23"/>
        <v>21.361258865248228</v>
      </c>
      <c r="AI29" s="7">
        <f t="shared" si="24"/>
        <v>33.680629432624116</v>
      </c>
      <c r="AJ29" s="6">
        <f t="shared" si="19"/>
        <v>0.33333333333333331</v>
      </c>
      <c r="AK29" s="1">
        <f t="shared" si="20"/>
        <v>0.66666666666666674</v>
      </c>
      <c r="AL29" s="1">
        <f t="shared" si="21"/>
        <v>22.695035460992909</v>
      </c>
      <c r="AM29" s="7">
        <f t="shared" si="22"/>
        <v>34.347517730496456</v>
      </c>
    </row>
    <row r="30" spans="1:39">
      <c r="A30" s="33" t="s">
        <v>127</v>
      </c>
      <c r="B30" s="48">
        <f>(VCS_Max/MAX(B25,B28))*1000</f>
        <v>1.6666666666666667</v>
      </c>
      <c r="C30" s="33" t="s">
        <v>125</v>
      </c>
      <c r="E30" s="36" t="s">
        <v>128</v>
      </c>
      <c r="N30">
        <v>2.4E-2</v>
      </c>
      <c r="O30">
        <f t="shared" si="0"/>
        <v>24</v>
      </c>
      <c r="P30" s="6">
        <f t="shared" si="1"/>
        <v>0.44687500000000002</v>
      </c>
      <c r="Q30" s="1">
        <f t="shared" si="2"/>
        <v>0.55312499999999998</v>
      </c>
      <c r="R30" s="1">
        <f t="shared" si="3"/>
        <v>16.829122340425535</v>
      </c>
      <c r="S30" s="7">
        <f t="shared" si="4"/>
        <v>32.414561170212764</v>
      </c>
      <c r="T30" s="6">
        <f t="shared" si="5"/>
        <v>0.29791666666666666</v>
      </c>
      <c r="U30" s="1">
        <f t="shared" si="6"/>
        <v>0.70208333333333339</v>
      </c>
      <c r="V30" s="1">
        <f t="shared" si="7"/>
        <v>21.361258865248228</v>
      </c>
      <c r="W30" s="7">
        <f t="shared" si="8"/>
        <v>34.680629432624116</v>
      </c>
      <c r="X30" s="6">
        <f t="shared" si="9"/>
        <v>0.19861111111111113</v>
      </c>
      <c r="Y30" s="1">
        <f t="shared" si="10"/>
        <v>0.80138888888888893</v>
      </c>
      <c r="Z30" s="1">
        <f t="shared" si="11"/>
        <v>24.382683215130029</v>
      </c>
      <c r="AA30" s="7">
        <f t="shared" si="12"/>
        <v>36.191341607565015</v>
      </c>
      <c r="AB30" s="6">
        <f t="shared" si="13"/>
        <v>0.25</v>
      </c>
      <c r="AC30" s="1">
        <f t="shared" si="14"/>
        <v>0.75</v>
      </c>
      <c r="AD30" s="1">
        <f t="shared" si="15"/>
        <v>19.148936170212764</v>
      </c>
      <c r="AE30" s="7">
        <f t="shared" si="16"/>
        <v>33.574468085106382</v>
      </c>
      <c r="AF30" s="6">
        <f t="shared" si="17"/>
        <v>0.29791666666666666</v>
      </c>
      <c r="AG30" s="1">
        <f t="shared" si="18"/>
        <v>0.70208333333333339</v>
      </c>
      <c r="AH30" s="1">
        <f t="shared" si="23"/>
        <v>21.361258865248228</v>
      </c>
      <c r="AI30" s="7">
        <f t="shared" si="24"/>
        <v>34.680629432624116</v>
      </c>
      <c r="AJ30" s="6">
        <f t="shared" si="19"/>
        <v>0.33333333333333331</v>
      </c>
      <c r="AK30" s="1">
        <f t="shared" si="20"/>
        <v>0.66666666666666674</v>
      </c>
      <c r="AL30" s="1">
        <f t="shared" si="21"/>
        <v>22.695035460992909</v>
      </c>
      <c r="AM30" s="7">
        <f t="shared" si="22"/>
        <v>35.347517730496456</v>
      </c>
    </row>
    <row r="31" spans="1:39">
      <c r="A31" s="33" t="s">
        <v>129</v>
      </c>
      <c r="B31" s="47">
        <f>Design_Converter!B29</f>
        <v>1</v>
      </c>
      <c r="C31" s="33" t="s">
        <v>125</v>
      </c>
      <c r="E31" s="36" t="s">
        <v>8</v>
      </c>
      <c r="N31">
        <v>2.5000000000000001E-2</v>
      </c>
      <c r="O31">
        <f t="shared" si="0"/>
        <v>25</v>
      </c>
      <c r="P31" s="6">
        <f t="shared" si="1"/>
        <v>0.44687500000000002</v>
      </c>
      <c r="Q31" s="1">
        <f t="shared" si="2"/>
        <v>0.55312499999999998</v>
      </c>
      <c r="R31" s="1">
        <f t="shared" si="3"/>
        <v>16.829122340425535</v>
      </c>
      <c r="S31" s="7">
        <f t="shared" si="4"/>
        <v>33.414561170212764</v>
      </c>
      <c r="T31" s="6">
        <f t="shared" si="5"/>
        <v>0.29791666666666666</v>
      </c>
      <c r="U31" s="1">
        <f t="shared" si="6"/>
        <v>0.70208333333333339</v>
      </c>
      <c r="V31" s="1">
        <f t="shared" si="7"/>
        <v>21.361258865248228</v>
      </c>
      <c r="W31" s="7">
        <f t="shared" si="8"/>
        <v>35.680629432624116</v>
      </c>
      <c r="X31" s="6">
        <f t="shared" si="9"/>
        <v>0.19861111111111113</v>
      </c>
      <c r="Y31" s="1">
        <f t="shared" si="10"/>
        <v>0.80138888888888893</v>
      </c>
      <c r="Z31" s="1">
        <f t="shared" si="11"/>
        <v>24.382683215130029</v>
      </c>
      <c r="AA31" s="7">
        <f t="shared" si="12"/>
        <v>37.191341607565015</v>
      </c>
      <c r="AB31" s="6">
        <f t="shared" si="13"/>
        <v>0.25</v>
      </c>
      <c r="AC31" s="1">
        <f t="shared" si="14"/>
        <v>0.75</v>
      </c>
      <c r="AD31" s="1">
        <f t="shared" si="15"/>
        <v>19.148936170212764</v>
      </c>
      <c r="AE31" s="7">
        <f t="shared" si="16"/>
        <v>34.574468085106382</v>
      </c>
      <c r="AF31" s="6">
        <f t="shared" si="17"/>
        <v>0.29791666666666666</v>
      </c>
      <c r="AG31" s="1">
        <f t="shared" si="18"/>
        <v>0.70208333333333339</v>
      </c>
      <c r="AH31" s="1">
        <f t="shared" si="23"/>
        <v>21.361258865248228</v>
      </c>
      <c r="AI31" s="7">
        <f t="shared" si="24"/>
        <v>35.680629432624116</v>
      </c>
      <c r="AJ31" s="6">
        <f t="shared" si="19"/>
        <v>0.33333333333333331</v>
      </c>
      <c r="AK31" s="1">
        <f t="shared" si="20"/>
        <v>0.66666666666666674</v>
      </c>
      <c r="AL31" s="1">
        <f t="shared" si="21"/>
        <v>22.695035460992909</v>
      </c>
      <c r="AM31" s="7">
        <f t="shared" si="22"/>
        <v>36.347517730496456</v>
      </c>
    </row>
    <row r="32" spans="1:39">
      <c r="A32" s="33" t="s">
        <v>132</v>
      </c>
      <c r="B32" s="50">
        <f>VCS_Max/Rcs</f>
        <v>50</v>
      </c>
      <c r="C32" s="33" t="s">
        <v>4</v>
      </c>
      <c r="E32" s="36" t="s">
        <v>163</v>
      </c>
      <c r="N32">
        <v>2.5999999999999999E-2</v>
      </c>
      <c r="O32">
        <f t="shared" si="0"/>
        <v>26</v>
      </c>
      <c r="P32" s="6">
        <f t="shared" si="1"/>
        <v>0.44687500000000002</v>
      </c>
      <c r="Q32" s="1">
        <f t="shared" si="2"/>
        <v>0.55312499999999998</v>
      </c>
      <c r="R32" s="1">
        <f t="shared" si="3"/>
        <v>16.829122340425535</v>
      </c>
      <c r="S32" s="7">
        <f t="shared" si="4"/>
        <v>34.414561170212764</v>
      </c>
      <c r="T32" s="6">
        <f t="shared" si="5"/>
        <v>0.29791666666666666</v>
      </c>
      <c r="U32" s="1">
        <f t="shared" si="6"/>
        <v>0.70208333333333339</v>
      </c>
      <c r="V32" s="1">
        <f t="shared" si="7"/>
        <v>21.361258865248228</v>
      </c>
      <c r="W32" s="7">
        <f t="shared" si="8"/>
        <v>36.680629432624116</v>
      </c>
      <c r="X32" s="6">
        <f t="shared" si="9"/>
        <v>0.19861111111111113</v>
      </c>
      <c r="Y32" s="1">
        <f t="shared" si="10"/>
        <v>0.80138888888888893</v>
      </c>
      <c r="Z32" s="1">
        <f t="shared" si="11"/>
        <v>24.382683215130029</v>
      </c>
      <c r="AA32" s="7">
        <f t="shared" si="12"/>
        <v>38.191341607565015</v>
      </c>
      <c r="AB32" s="6">
        <f t="shared" si="13"/>
        <v>0.25</v>
      </c>
      <c r="AC32" s="1">
        <f t="shared" si="14"/>
        <v>0.75</v>
      </c>
      <c r="AD32" s="1">
        <f t="shared" si="15"/>
        <v>19.148936170212764</v>
      </c>
      <c r="AE32" s="7">
        <f t="shared" si="16"/>
        <v>35.574468085106382</v>
      </c>
      <c r="AF32" s="6">
        <f t="shared" si="17"/>
        <v>0.29791666666666666</v>
      </c>
      <c r="AG32" s="1">
        <f t="shared" si="18"/>
        <v>0.70208333333333339</v>
      </c>
      <c r="AH32" s="1">
        <f t="shared" si="23"/>
        <v>21.361258865248228</v>
      </c>
      <c r="AI32" s="7">
        <f t="shared" si="24"/>
        <v>36.680629432624116</v>
      </c>
      <c r="AJ32" s="6">
        <f t="shared" si="19"/>
        <v>0.33333333333333331</v>
      </c>
      <c r="AK32" s="1">
        <f t="shared" si="20"/>
        <v>0.66666666666666674</v>
      </c>
      <c r="AL32" s="1">
        <f t="shared" si="21"/>
        <v>22.695035460992909</v>
      </c>
      <c r="AM32" s="7">
        <f t="shared" si="22"/>
        <v>37.347517730496456</v>
      </c>
    </row>
    <row r="33" spans="1:39">
      <c r="A33" s="33" t="s">
        <v>130</v>
      </c>
      <c r="B33" s="48">
        <f>V12_Nom*B32</f>
        <v>715</v>
      </c>
      <c r="C33" s="33" t="s">
        <v>124</v>
      </c>
      <c r="E33" s="36" t="s">
        <v>167</v>
      </c>
      <c r="N33">
        <v>2.7E-2</v>
      </c>
      <c r="O33">
        <f t="shared" si="0"/>
        <v>27</v>
      </c>
      <c r="P33" s="6">
        <f t="shared" si="1"/>
        <v>0.44687500000000002</v>
      </c>
      <c r="Q33" s="1">
        <f t="shared" si="2"/>
        <v>0.55312499999999998</v>
      </c>
      <c r="R33" s="1">
        <f t="shared" si="3"/>
        <v>16.829122340425535</v>
      </c>
      <c r="S33" s="7">
        <f t="shared" si="4"/>
        <v>35.414561170212764</v>
      </c>
      <c r="T33" s="6">
        <f t="shared" si="5"/>
        <v>0.29791666666666666</v>
      </c>
      <c r="U33" s="1">
        <f t="shared" si="6"/>
        <v>0.70208333333333339</v>
      </c>
      <c r="V33" s="1">
        <f t="shared" si="7"/>
        <v>21.361258865248228</v>
      </c>
      <c r="W33" s="7">
        <f t="shared" si="8"/>
        <v>37.680629432624116</v>
      </c>
      <c r="X33" s="6">
        <f t="shared" si="9"/>
        <v>0.19861111111111113</v>
      </c>
      <c r="Y33" s="1">
        <f t="shared" si="10"/>
        <v>0.80138888888888893</v>
      </c>
      <c r="Z33" s="1">
        <f t="shared" si="11"/>
        <v>24.382683215130029</v>
      </c>
      <c r="AA33" s="7">
        <f t="shared" si="12"/>
        <v>39.191341607565015</v>
      </c>
      <c r="AB33" s="6">
        <f t="shared" si="13"/>
        <v>0.25</v>
      </c>
      <c r="AC33" s="1">
        <f t="shared" si="14"/>
        <v>0.75</v>
      </c>
      <c r="AD33" s="1">
        <f t="shared" si="15"/>
        <v>19.148936170212764</v>
      </c>
      <c r="AE33" s="7">
        <f t="shared" si="16"/>
        <v>36.574468085106382</v>
      </c>
      <c r="AF33" s="6">
        <f t="shared" si="17"/>
        <v>0.29791666666666666</v>
      </c>
      <c r="AG33" s="1">
        <f t="shared" si="18"/>
        <v>0.70208333333333339</v>
      </c>
      <c r="AH33" s="1">
        <f t="shared" si="23"/>
        <v>21.361258865248228</v>
      </c>
      <c r="AI33" s="7">
        <f t="shared" si="24"/>
        <v>37.680629432624116</v>
      </c>
      <c r="AJ33" s="6">
        <f t="shared" si="19"/>
        <v>0.33333333333333331</v>
      </c>
      <c r="AK33" s="1">
        <f t="shared" si="20"/>
        <v>0.66666666666666674</v>
      </c>
      <c r="AL33" s="1">
        <f t="shared" si="21"/>
        <v>22.695035460992909</v>
      </c>
      <c r="AM33" s="7">
        <f t="shared" si="22"/>
        <v>38.347517730496456</v>
      </c>
    </row>
    <row r="34" spans="1:39">
      <c r="A34" s="33" t="s">
        <v>134</v>
      </c>
      <c r="B34" s="48">
        <f>I_Channel*np</f>
        <v>100</v>
      </c>
      <c r="C34" s="33" t="s">
        <v>4</v>
      </c>
      <c r="E34" s="36" t="s">
        <v>168</v>
      </c>
      <c r="N34">
        <v>2.8000000000000001E-2</v>
      </c>
      <c r="O34">
        <f t="shared" si="0"/>
        <v>28</v>
      </c>
      <c r="P34" s="6">
        <f t="shared" si="1"/>
        <v>0.44687500000000002</v>
      </c>
      <c r="Q34" s="1">
        <f t="shared" si="2"/>
        <v>0.55312499999999998</v>
      </c>
      <c r="R34" s="1">
        <f t="shared" si="3"/>
        <v>16.829122340425535</v>
      </c>
      <c r="S34" s="7">
        <f t="shared" si="4"/>
        <v>36.414561170212764</v>
      </c>
      <c r="T34" s="6">
        <f t="shared" si="5"/>
        <v>0.29791666666666666</v>
      </c>
      <c r="U34" s="1">
        <f t="shared" si="6"/>
        <v>0.70208333333333339</v>
      </c>
      <c r="V34" s="1">
        <f t="shared" si="7"/>
        <v>21.361258865248228</v>
      </c>
      <c r="W34" s="7">
        <f t="shared" si="8"/>
        <v>38.680629432624116</v>
      </c>
      <c r="X34" s="6">
        <f t="shared" si="9"/>
        <v>0.19861111111111113</v>
      </c>
      <c r="Y34" s="1">
        <f t="shared" si="10"/>
        <v>0.80138888888888893</v>
      </c>
      <c r="Z34" s="1">
        <f t="shared" si="11"/>
        <v>24.382683215130029</v>
      </c>
      <c r="AA34" s="7">
        <f t="shared" si="12"/>
        <v>40.191341607565015</v>
      </c>
      <c r="AB34" s="6">
        <f t="shared" si="13"/>
        <v>0.25</v>
      </c>
      <c r="AC34" s="1">
        <f t="shared" si="14"/>
        <v>0.75</v>
      </c>
      <c r="AD34" s="1">
        <f t="shared" si="15"/>
        <v>19.148936170212764</v>
      </c>
      <c r="AE34" s="7">
        <f t="shared" si="16"/>
        <v>37.574468085106382</v>
      </c>
      <c r="AF34" s="6">
        <f t="shared" si="17"/>
        <v>0.29791666666666666</v>
      </c>
      <c r="AG34" s="1">
        <f t="shared" si="18"/>
        <v>0.70208333333333339</v>
      </c>
      <c r="AH34" s="1">
        <f t="shared" si="23"/>
        <v>21.361258865248228</v>
      </c>
      <c r="AI34" s="7">
        <f t="shared" si="24"/>
        <v>38.680629432624116</v>
      </c>
      <c r="AJ34" s="6">
        <f t="shared" si="19"/>
        <v>0.33333333333333331</v>
      </c>
      <c r="AK34" s="1">
        <f t="shared" si="20"/>
        <v>0.66666666666666674</v>
      </c>
      <c r="AL34" s="1">
        <f t="shared" si="21"/>
        <v>22.695035460992909</v>
      </c>
      <c r="AM34" s="7">
        <f t="shared" si="22"/>
        <v>39.347517730496456</v>
      </c>
    </row>
    <row r="35" spans="1:39">
      <c r="A35" s="33" t="s">
        <v>135</v>
      </c>
      <c r="B35" s="48">
        <f>B33*np</f>
        <v>1430</v>
      </c>
      <c r="C35" s="33" t="s">
        <v>124</v>
      </c>
      <c r="E35" s="36" t="s">
        <v>169</v>
      </c>
      <c r="N35">
        <v>2.9000000000000001E-2</v>
      </c>
      <c r="O35">
        <f t="shared" si="0"/>
        <v>29</v>
      </c>
      <c r="P35" s="6">
        <f t="shared" si="1"/>
        <v>0.44687500000000002</v>
      </c>
      <c r="Q35" s="1">
        <f t="shared" si="2"/>
        <v>0.55312499999999998</v>
      </c>
      <c r="R35" s="1">
        <f t="shared" si="3"/>
        <v>16.829122340425535</v>
      </c>
      <c r="S35" s="7">
        <f t="shared" si="4"/>
        <v>37.414561170212764</v>
      </c>
      <c r="T35" s="6">
        <f t="shared" si="5"/>
        <v>0.29791666666666666</v>
      </c>
      <c r="U35" s="1">
        <f t="shared" si="6"/>
        <v>0.70208333333333339</v>
      </c>
      <c r="V35" s="1">
        <f t="shared" si="7"/>
        <v>21.361258865248228</v>
      </c>
      <c r="W35" s="7">
        <f t="shared" si="8"/>
        <v>39.680629432624116</v>
      </c>
      <c r="X35" s="6">
        <f t="shared" si="9"/>
        <v>0.19861111111111113</v>
      </c>
      <c r="Y35" s="1">
        <f t="shared" si="10"/>
        <v>0.80138888888888893</v>
      </c>
      <c r="Z35" s="1">
        <f t="shared" si="11"/>
        <v>24.382683215130029</v>
      </c>
      <c r="AA35" s="7">
        <f t="shared" si="12"/>
        <v>41.191341607565015</v>
      </c>
      <c r="AB35" s="6">
        <f t="shared" si="13"/>
        <v>0.25</v>
      </c>
      <c r="AC35" s="1">
        <f t="shared" si="14"/>
        <v>0.75</v>
      </c>
      <c r="AD35" s="1">
        <f t="shared" si="15"/>
        <v>19.148936170212764</v>
      </c>
      <c r="AE35" s="7">
        <f t="shared" si="16"/>
        <v>38.574468085106382</v>
      </c>
      <c r="AF35" s="6">
        <f t="shared" si="17"/>
        <v>0.29791666666666666</v>
      </c>
      <c r="AG35" s="1">
        <f t="shared" si="18"/>
        <v>0.70208333333333339</v>
      </c>
      <c r="AH35" s="1">
        <f t="shared" si="23"/>
        <v>21.361258865248228</v>
      </c>
      <c r="AI35" s="7">
        <f t="shared" si="24"/>
        <v>39.680629432624116</v>
      </c>
      <c r="AJ35" s="6">
        <f t="shared" si="19"/>
        <v>0.33333333333333331</v>
      </c>
      <c r="AK35" s="1">
        <f t="shared" si="20"/>
        <v>0.66666666666666674</v>
      </c>
      <c r="AL35" s="1">
        <f t="shared" si="21"/>
        <v>22.695035460992909</v>
      </c>
      <c r="AM35" s="7">
        <f t="shared" si="22"/>
        <v>40.347517730496456</v>
      </c>
    </row>
    <row r="36" spans="1:39">
      <c r="N36">
        <v>0.03</v>
      </c>
      <c r="O36">
        <f t="shared" si="0"/>
        <v>30</v>
      </c>
      <c r="P36" s="6">
        <f t="shared" si="1"/>
        <v>0.44687500000000002</v>
      </c>
      <c r="Q36" s="1">
        <f t="shared" si="2"/>
        <v>0.55312499999999998</v>
      </c>
      <c r="R36" s="1">
        <f t="shared" si="3"/>
        <v>16.829122340425535</v>
      </c>
      <c r="S36" s="7">
        <f t="shared" si="4"/>
        <v>38.414561170212764</v>
      </c>
      <c r="T36" s="6">
        <f t="shared" si="5"/>
        <v>0.29791666666666666</v>
      </c>
      <c r="U36" s="1">
        <f t="shared" si="6"/>
        <v>0.70208333333333339</v>
      </c>
      <c r="V36" s="1">
        <f t="shared" si="7"/>
        <v>21.361258865248228</v>
      </c>
      <c r="W36" s="7">
        <f t="shared" si="8"/>
        <v>40.680629432624116</v>
      </c>
      <c r="X36" s="6">
        <f t="shared" si="9"/>
        <v>0.19861111111111113</v>
      </c>
      <c r="Y36" s="1">
        <f t="shared" si="10"/>
        <v>0.80138888888888893</v>
      </c>
      <c r="Z36" s="1">
        <f t="shared" si="11"/>
        <v>24.382683215130029</v>
      </c>
      <c r="AA36" s="7">
        <f t="shared" si="12"/>
        <v>42.191341607565015</v>
      </c>
      <c r="AB36" s="6">
        <f t="shared" si="13"/>
        <v>0.25</v>
      </c>
      <c r="AC36" s="1">
        <f t="shared" si="14"/>
        <v>0.75</v>
      </c>
      <c r="AD36" s="1">
        <f t="shared" si="15"/>
        <v>19.148936170212764</v>
      </c>
      <c r="AE36" s="7">
        <f t="shared" si="16"/>
        <v>39.574468085106382</v>
      </c>
      <c r="AF36" s="6">
        <f t="shared" si="17"/>
        <v>0.29791666666666666</v>
      </c>
      <c r="AG36" s="1">
        <f t="shared" si="18"/>
        <v>0.70208333333333339</v>
      </c>
      <c r="AH36" s="1">
        <f t="shared" si="23"/>
        <v>21.361258865248228</v>
      </c>
      <c r="AI36" s="7">
        <f t="shared" si="24"/>
        <v>40.680629432624116</v>
      </c>
      <c r="AJ36" s="6">
        <f t="shared" si="19"/>
        <v>0.33333333333333331</v>
      </c>
      <c r="AK36" s="1">
        <f t="shared" si="20"/>
        <v>0.66666666666666674</v>
      </c>
      <c r="AL36" s="1">
        <f t="shared" si="21"/>
        <v>22.695035460992909</v>
      </c>
      <c r="AM36" s="7">
        <f t="shared" si="22"/>
        <v>41.347517730496456</v>
      </c>
    </row>
    <row r="37" spans="1:39">
      <c r="N37">
        <v>3.1E-2</v>
      </c>
      <c r="O37">
        <f t="shared" si="0"/>
        <v>31</v>
      </c>
      <c r="P37" s="6">
        <f t="shared" si="1"/>
        <v>0.44687500000000002</v>
      </c>
      <c r="Q37" s="1">
        <f t="shared" si="2"/>
        <v>0.55312499999999998</v>
      </c>
      <c r="R37" s="1">
        <f t="shared" si="3"/>
        <v>16.829122340425535</v>
      </c>
      <c r="S37" s="7">
        <f t="shared" si="4"/>
        <v>39.414561170212764</v>
      </c>
      <c r="T37" s="6">
        <f t="shared" si="5"/>
        <v>0.29791666666666666</v>
      </c>
      <c r="U37" s="1">
        <f t="shared" si="6"/>
        <v>0.70208333333333339</v>
      </c>
      <c r="V37" s="1">
        <f t="shared" si="7"/>
        <v>21.361258865248228</v>
      </c>
      <c r="W37" s="7">
        <f t="shared" si="8"/>
        <v>41.680629432624116</v>
      </c>
      <c r="X37" s="6">
        <f t="shared" si="9"/>
        <v>0.19861111111111113</v>
      </c>
      <c r="Y37" s="1">
        <f t="shared" si="10"/>
        <v>0.80138888888888893</v>
      </c>
      <c r="Z37" s="1">
        <f t="shared" si="11"/>
        <v>24.382683215130029</v>
      </c>
      <c r="AA37" s="7">
        <f t="shared" si="12"/>
        <v>43.191341607565015</v>
      </c>
      <c r="AB37" s="6">
        <f t="shared" si="13"/>
        <v>0.25</v>
      </c>
      <c r="AC37" s="1">
        <f t="shared" si="14"/>
        <v>0.75</v>
      </c>
      <c r="AD37" s="1">
        <f t="shared" si="15"/>
        <v>19.148936170212764</v>
      </c>
      <c r="AE37" s="7">
        <f t="shared" si="16"/>
        <v>40.574468085106382</v>
      </c>
      <c r="AF37" s="6">
        <f t="shared" si="17"/>
        <v>0.29791666666666666</v>
      </c>
      <c r="AG37" s="1">
        <f t="shared" si="18"/>
        <v>0.70208333333333339</v>
      </c>
      <c r="AH37" s="1">
        <f t="shared" si="23"/>
        <v>21.361258865248228</v>
      </c>
      <c r="AI37" s="7">
        <f t="shared" si="24"/>
        <v>41.680629432624116</v>
      </c>
      <c r="AJ37" s="6">
        <f t="shared" si="19"/>
        <v>0.33333333333333331</v>
      </c>
      <c r="AK37" s="1">
        <f t="shared" si="20"/>
        <v>0.66666666666666674</v>
      </c>
      <c r="AL37" s="1">
        <f t="shared" si="21"/>
        <v>22.695035460992909</v>
      </c>
      <c r="AM37" s="7">
        <f t="shared" si="22"/>
        <v>42.347517730496456</v>
      </c>
    </row>
    <row r="38" spans="1:39">
      <c r="A38" s="34" t="s">
        <v>136</v>
      </c>
      <c r="B38" s="51"/>
      <c r="C38" s="33"/>
      <c r="N38">
        <v>3.2000000000000001E-2</v>
      </c>
      <c r="O38">
        <f t="shared" ref="O38:O56" si="25">N38/Rcs</f>
        <v>32</v>
      </c>
      <c r="P38" s="6">
        <f t="shared" ref="P38:P56" si="26">IF($O38&lt;((V48_Min-V12_Nom)*V12_Nom)/((2*Lm*Fsw)*V48_Min),SQRT((2*$O38*Lm*Fsw*V12_Nom)/(V48_Min*(V48_Min-V12_Nom))),(V12_Nom/V48_Min))</f>
        <v>0.44687500000000002</v>
      </c>
      <c r="Q38" s="1">
        <f t="shared" ref="Q38:Q56" si="27">IF($O38&lt;((V48_Min-V12_Nom)*V12_Nom)/((2*Lm*Fsw)*V48_Min),SQRT((2*$O38*Lm*Fsw*V12_Nom)/(V48_Min*(V48_Min-V12_Nom)))*((V48_Min-V12_Nom)/(V12_Nom)),1-(V12_Nom/V48_Min))</f>
        <v>0.55312499999999998</v>
      </c>
      <c r="R38" s="1">
        <f t="shared" ref="R38:R56" si="28">IF($O38&lt;((V48_Min-V12_Nom)*V12_Nom)/((2*Lm*Fsw)*V48_Min),(P38/(Fsw*Lm))*(V48_Min-V12_Nom),((P38/(Fsw*Lm))*(V48_Min-V12_Nom)))</f>
        <v>16.829122340425535</v>
      </c>
      <c r="S38" s="7">
        <f t="shared" ref="S38:S56" si="29">IF($O38&lt;((V48_Min-V12_Nom)*V12_Nom)/((2*Lm*Fsw)*V48_Min),(P38/(Fsw*Lm))*(V48_Min-V12_Nom),(R38/2)+$O38)</f>
        <v>40.414561170212764</v>
      </c>
      <c r="T38" s="6">
        <f t="shared" ref="T38:T56" si="30">IF($O38&lt;((V48_Nom-V12_Nom)*V12_Nom)/((2*Lm*Fsw)*V48_Nom),SQRT((2*$O38*Lm*Fsw*V12_Nom)/(V48_Nom*(V48_Nom-V12_Nom))),(V12_Nom/V48_Nom))</f>
        <v>0.29791666666666666</v>
      </c>
      <c r="U38" s="1">
        <f t="shared" ref="U38:U56" si="31">IF($O38&lt;((V48_Nom-V12_Nom)*V12_Nom)/((2*Lm*Fsw)*V48_Nom),SQRT((2*$O38*Lm*Fsw*V12_Nom)/(V48_Nom*(V48_Nom-V12_Nom)))*((V48_Nom-V12_Nom)/(V12_Nom)),1-(V12_Nom/V48_Nom))</f>
        <v>0.70208333333333339</v>
      </c>
      <c r="V38" s="1">
        <f t="shared" ref="V38:V56" si="32">IF($O38&lt;((V48_Nom-V12_Nom)*V12_Nom)/((2*Lm*Fsw)*V48_Nom),(T38/(Fsw*Lm))*(V48_Nom-V12_Nom),((T38/(Fsw*Lm))*(V48_Nom-V12_Nom)))</f>
        <v>21.361258865248228</v>
      </c>
      <c r="W38" s="7">
        <f t="shared" ref="W38:W56" si="33">IF($O38&lt;((V48_Nom-V12_Nom)*V12_Nom)/((2*Lm*Fsw)*V48_Nom),(T38/(Fsw*Lm))*(V48_Nom-V12_Nom),(V38/2)+$O38)</f>
        <v>42.680629432624116</v>
      </c>
      <c r="X38" s="6">
        <f t="shared" ref="X38:X56" si="34">IF($O38&lt;((V48_Max-V12_Nom)*V12_Nom)/((2*Lm*Fsw)*V48_Max),SQRT((2*$O38*Lm*Fsw*V12_Nom)/(V48_Max*(V48_Max-V12_Nom))),(V12_Nom/V48_Max))</f>
        <v>0.19861111111111113</v>
      </c>
      <c r="Y38" s="1">
        <f t="shared" ref="Y38:Y56" si="35">IF($O38&lt;((V48_Max-V12_Nom)*V12_Nom)/((2*Lm*Fsw)*V48_Max),SQRT((2*$O38*Lm*Fsw*V12_Nom)/(V48_Max*(V48_Max-V12_Nom)))*((V48_Max-V12_Nom)/(V12_Nom)),1-(V12_Nom/V48_Max))</f>
        <v>0.80138888888888893</v>
      </c>
      <c r="Z38" s="1">
        <f t="shared" ref="Z38:Z56" si="36">IF($O38&lt;((V48_Max-V12_Nom)*V12_Nom)/((2*Lm*Fsw)*V48_Max),(X38/(Fsw*Lm))*(V48_Max-V12_Nom),((X38/(Fsw*Lm))*(V48_Max-V12_Nom)))</f>
        <v>24.382683215130029</v>
      </c>
      <c r="AA38" s="7">
        <f t="shared" ref="AA38:AA56" si="37">IF($O38&lt;((V48_Max-V12_Nom)*V12_Nom)/((2*Lm*Fsw)*V48_Max),(X38/(Fsw*Lm))*(V48_Max-V12_Nom),(Z38/2)+$O38)</f>
        <v>44.191341607565015</v>
      </c>
      <c r="AB38" s="6">
        <f t="shared" ref="AB38:AB56" si="38">IF($O38&lt;((V48_Nom-V12_Min)*V12_Min)/((2*Lm*Fsw)*V48_Nom),SQRT((2*$O38*Lm*Fsw*V12_Min)/(V48_Nom*(V48_Nom-V12_Min))),(V12_Min/V48_Nom))</f>
        <v>0.25</v>
      </c>
      <c r="AC38" s="1">
        <f t="shared" ref="AC38:AC56" si="39">IF($O38&lt;((V48_Nom-V12_Min)*V12_Min)/((2*Lm*Fsw)*V48_Nom),SQRT((2*$O38*Lm*Fsw*V12_Min)/(V48_Nom*(V48_Nom-V12_Min)))*((V48_Nom-V12_Min)/(V12_Min)),1-(V12_Min/V48_Nom))</f>
        <v>0.75</v>
      </c>
      <c r="AD38" s="1">
        <f t="shared" ref="AD38:AD56" si="40">IF($O38&lt;((V48_Nom-V12_Min)*V12_Min)/((2*Lm*Fsw)*V48_Nom),(AB38/(Fsw*Lm))*(V48_Nom-V12_Min),((AB38/(Fsw*Lm))*(V48_Nom-V12_Min)))</f>
        <v>19.148936170212764</v>
      </c>
      <c r="AE38" s="7">
        <f t="shared" ref="AE38:AE56" si="41">IF($O38&lt;((V48_Nom-V12_Min)*V12_Min)/((2*Lm*Fsw)*V48_Nom),(AB38/(Fsw*Lm))*(V48_Nom-V12_Min),(AD38/2)+$O38)</f>
        <v>41.574468085106382</v>
      </c>
      <c r="AF38" s="6">
        <f t="shared" si="17"/>
        <v>0.29791666666666666</v>
      </c>
      <c r="AG38" s="1">
        <f t="shared" si="18"/>
        <v>0.70208333333333339</v>
      </c>
      <c r="AH38" s="1">
        <f t="shared" si="23"/>
        <v>21.361258865248228</v>
      </c>
      <c r="AI38" s="7">
        <f t="shared" si="24"/>
        <v>42.680629432624116</v>
      </c>
      <c r="AJ38" s="6">
        <f t="shared" ref="AJ38:AJ56" si="42">IF($O38&lt;((V48_Nom-V12_Max)*V12_Max)/((2*Lm*Fsw)*V48_Nom),SQRT((2*$O38*Lm*Fsw*V12_Max)/(V48_Nom*(V48_Nom-V12_Max))),(V12_Max/V48_Nom))</f>
        <v>0.33333333333333331</v>
      </c>
      <c r="AK38" s="1">
        <f t="shared" ref="AK38:AK56" si="43">IF($O38&lt;((V48_Nom-V12_Max)*V12_Max)/((2*Lm*Fsw)*V48_Nom),SQRT((2*$O38*Lm*Fsw*V12_Max)/(V48_Nom*(V48_Nom-V12_Max)))*((V48_Nom-V12_Max)/(V12_Max)),1-(V12_Max/V48_Nom))</f>
        <v>0.66666666666666674</v>
      </c>
      <c r="AL38" s="1">
        <f t="shared" ref="AL38:AL56" si="44">IF($O38&lt;((V48_Nom-V12_Max)*V12_Max)/((2*Lm*Fsw)*V48_Nom),(AJ38/(Fsw*Lm))*(V48_Nom-V12_Max),((AJ38/(Fsw*Lm))*(V48_Nom-V12_Max)))</f>
        <v>22.695035460992909</v>
      </c>
      <c r="AM38" s="7">
        <f t="shared" ref="AM38:AM56" si="45">IF($O38&lt;((V48_Nom-V12_Max)*V12_Max)/((2*Lm*Fsw)*V48_Nom),(AJ38/(Fsw*Lm))*(V48_Nom-V12_Max),(AL38/2)+$O38)</f>
        <v>43.347517730496456</v>
      </c>
    </row>
    <row r="39" spans="1:39">
      <c r="A39" s="33" t="s">
        <v>139</v>
      </c>
      <c r="B39" s="47">
        <f>Design_Converter!B36/100</f>
        <v>0.8</v>
      </c>
      <c r="C39" s="33"/>
      <c r="E39" s="36" t="s">
        <v>170</v>
      </c>
      <c r="N39">
        <v>3.3000000000000002E-2</v>
      </c>
      <c r="O39">
        <f t="shared" si="25"/>
        <v>33</v>
      </c>
      <c r="P39" s="6">
        <f t="shared" si="26"/>
        <v>0.44687500000000002</v>
      </c>
      <c r="Q39" s="1">
        <f t="shared" si="27"/>
        <v>0.55312499999999998</v>
      </c>
      <c r="R39" s="1">
        <f t="shared" si="28"/>
        <v>16.829122340425535</v>
      </c>
      <c r="S39" s="7">
        <f t="shared" si="29"/>
        <v>41.414561170212764</v>
      </c>
      <c r="T39" s="6">
        <f t="shared" si="30"/>
        <v>0.29791666666666666</v>
      </c>
      <c r="U39" s="1">
        <f t="shared" si="31"/>
        <v>0.70208333333333339</v>
      </c>
      <c r="V39" s="1">
        <f t="shared" si="32"/>
        <v>21.361258865248228</v>
      </c>
      <c r="W39" s="7">
        <f t="shared" si="33"/>
        <v>43.680629432624116</v>
      </c>
      <c r="X39" s="6">
        <f t="shared" si="34"/>
        <v>0.19861111111111113</v>
      </c>
      <c r="Y39" s="1">
        <f t="shared" si="35"/>
        <v>0.80138888888888893</v>
      </c>
      <c r="Z39" s="1">
        <f t="shared" si="36"/>
        <v>24.382683215130029</v>
      </c>
      <c r="AA39" s="7">
        <f t="shared" si="37"/>
        <v>45.191341607565015</v>
      </c>
      <c r="AB39" s="6">
        <f t="shared" si="38"/>
        <v>0.25</v>
      </c>
      <c r="AC39" s="1">
        <f t="shared" si="39"/>
        <v>0.75</v>
      </c>
      <c r="AD39" s="1">
        <f t="shared" si="40"/>
        <v>19.148936170212764</v>
      </c>
      <c r="AE39" s="7">
        <f t="shared" si="41"/>
        <v>42.574468085106382</v>
      </c>
      <c r="AF39" s="6">
        <f t="shared" si="17"/>
        <v>0.29791666666666666</v>
      </c>
      <c r="AG39" s="1">
        <f t="shared" si="18"/>
        <v>0.70208333333333339</v>
      </c>
      <c r="AH39" s="1">
        <f t="shared" si="23"/>
        <v>21.361258865248228</v>
      </c>
      <c r="AI39" s="7">
        <f t="shared" si="24"/>
        <v>43.680629432624116</v>
      </c>
      <c r="AJ39" s="6">
        <f t="shared" si="42"/>
        <v>0.33333333333333331</v>
      </c>
      <c r="AK39" s="1">
        <f t="shared" si="43"/>
        <v>0.66666666666666674</v>
      </c>
      <c r="AL39" s="1">
        <f t="shared" si="44"/>
        <v>22.695035460992909</v>
      </c>
      <c r="AM39" s="7">
        <f t="shared" si="45"/>
        <v>44.347517730496456</v>
      </c>
    </row>
    <row r="40" spans="1:39">
      <c r="A40" s="183" t="s">
        <v>375</v>
      </c>
      <c r="B40" s="52">
        <f>(V48_Max-V12_Nom)*(V12_Nom/V48_Max)/((B25)*(B39)*Fsw)*(1000000)</f>
        <v>4.7749421296296308</v>
      </c>
      <c r="C40" s="33" t="s">
        <v>6</v>
      </c>
      <c r="E40" s="36" t="s">
        <v>379</v>
      </c>
      <c r="N40">
        <v>3.4000000000000002E-2</v>
      </c>
      <c r="O40">
        <f t="shared" si="25"/>
        <v>34</v>
      </c>
      <c r="P40" s="6">
        <f t="shared" si="26"/>
        <v>0.44687500000000002</v>
      </c>
      <c r="Q40" s="1">
        <f t="shared" si="27"/>
        <v>0.55312499999999998</v>
      </c>
      <c r="R40" s="1">
        <f t="shared" si="28"/>
        <v>16.829122340425535</v>
      </c>
      <c r="S40" s="7">
        <f t="shared" si="29"/>
        <v>42.414561170212764</v>
      </c>
      <c r="T40" s="6">
        <f t="shared" si="30"/>
        <v>0.29791666666666666</v>
      </c>
      <c r="U40" s="1">
        <f t="shared" si="31"/>
        <v>0.70208333333333339</v>
      </c>
      <c r="V40" s="1">
        <f t="shared" si="32"/>
        <v>21.361258865248228</v>
      </c>
      <c r="W40" s="7">
        <f t="shared" si="33"/>
        <v>44.680629432624116</v>
      </c>
      <c r="X40" s="6">
        <f t="shared" si="34"/>
        <v>0.19861111111111113</v>
      </c>
      <c r="Y40" s="1">
        <f t="shared" si="35"/>
        <v>0.80138888888888893</v>
      </c>
      <c r="Z40" s="1">
        <f t="shared" si="36"/>
        <v>24.382683215130029</v>
      </c>
      <c r="AA40" s="7">
        <f t="shared" si="37"/>
        <v>46.191341607565015</v>
      </c>
      <c r="AB40" s="6">
        <f t="shared" si="38"/>
        <v>0.25</v>
      </c>
      <c r="AC40" s="1">
        <f t="shared" si="39"/>
        <v>0.75</v>
      </c>
      <c r="AD40" s="1">
        <f t="shared" si="40"/>
        <v>19.148936170212764</v>
      </c>
      <c r="AE40" s="7">
        <f t="shared" si="41"/>
        <v>43.574468085106382</v>
      </c>
      <c r="AF40" s="6">
        <f t="shared" si="17"/>
        <v>0.29791666666666666</v>
      </c>
      <c r="AG40" s="1">
        <f t="shared" si="18"/>
        <v>0.70208333333333339</v>
      </c>
      <c r="AH40" s="1">
        <f t="shared" si="23"/>
        <v>21.361258865248228</v>
      </c>
      <c r="AI40" s="7">
        <f t="shared" si="24"/>
        <v>44.680629432624116</v>
      </c>
      <c r="AJ40" s="6">
        <f t="shared" si="42"/>
        <v>0.33333333333333331</v>
      </c>
      <c r="AK40" s="1">
        <f t="shared" si="43"/>
        <v>0.66666666666666674</v>
      </c>
      <c r="AL40" s="1">
        <f t="shared" si="44"/>
        <v>22.695035460992909</v>
      </c>
      <c r="AM40" s="7">
        <f t="shared" si="45"/>
        <v>45.347517730496456</v>
      </c>
    </row>
    <row r="41" spans="1:39">
      <c r="A41" s="183" t="s">
        <v>376</v>
      </c>
      <c r="B41" s="52"/>
      <c r="C41" s="33" t="s">
        <v>6</v>
      </c>
      <c r="E41" s="36" t="s">
        <v>374</v>
      </c>
      <c r="N41">
        <v>3.5000000000000003E-2</v>
      </c>
      <c r="O41">
        <f t="shared" si="25"/>
        <v>35</v>
      </c>
      <c r="P41" s="6">
        <f t="shared" si="26"/>
        <v>0.44687500000000002</v>
      </c>
      <c r="Q41" s="1">
        <f t="shared" si="27"/>
        <v>0.55312499999999998</v>
      </c>
      <c r="R41" s="1">
        <f t="shared" si="28"/>
        <v>16.829122340425535</v>
      </c>
      <c r="S41" s="7">
        <f t="shared" si="29"/>
        <v>43.414561170212764</v>
      </c>
      <c r="T41" s="6">
        <f t="shared" si="30"/>
        <v>0.29791666666666666</v>
      </c>
      <c r="U41" s="1">
        <f t="shared" si="31"/>
        <v>0.70208333333333339</v>
      </c>
      <c r="V41" s="1">
        <f t="shared" si="32"/>
        <v>21.361258865248228</v>
      </c>
      <c r="W41" s="7">
        <f t="shared" si="33"/>
        <v>45.680629432624116</v>
      </c>
      <c r="X41" s="6">
        <f t="shared" si="34"/>
        <v>0.19861111111111113</v>
      </c>
      <c r="Y41" s="1">
        <f t="shared" si="35"/>
        <v>0.80138888888888893</v>
      </c>
      <c r="Z41" s="1">
        <f t="shared" si="36"/>
        <v>24.382683215130029</v>
      </c>
      <c r="AA41" s="7">
        <f t="shared" si="37"/>
        <v>47.191341607565015</v>
      </c>
      <c r="AB41" s="6">
        <f t="shared" si="38"/>
        <v>0.25</v>
      </c>
      <c r="AC41" s="1">
        <f t="shared" si="39"/>
        <v>0.75</v>
      </c>
      <c r="AD41" s="1">
        <f t="shared" si="40"/>
        <v>19.148936170212764</v>
      </c>
      <c r="AE41" s="7">
        <f t="shared" si="41"/>
        <v>44.574468085106382</v>
      </c>
      <c r="AF41" s="6">
        <f t="shared" si="17"/>
        <v>0.29791666666666666</v>
      </c>
      <c r="AG41" s="1">
        <f t="shared" si="18"/>
        <v>0.70208333333333339</v>
      </c>
      <c r="AH41" s="1">
        <f t="shared" si="23"/>
        <v>21.361258865248228</v>
      </c>
      <c r="AI41" s="7">
        <f t="shared" si="24"/>
        <v>45.680629432624116</v>
      </c>
      <c r="AJ41" s="6">
        <f t="shared" si="42"/>
        <v>0.33333333333333331</v>
      </c>
      <c r="AK41" s="1">
        <f t="shared" si="43"/>
        <v>0.66666666666666674</v>
      </c>
      <c r="AL41" s="1">
        <f t="shared" si="44"/>
        <v>22.695035460992909</v>
      </c>
      <c r="AM41" s="7">
        <f t="shared" si="45"/>
        <v>46.347517730496456</v>
      </c>
    </row>
    <row r="42" spans="1:39">
      <c r="A42" s="183" t="s">
        <v>377</v>
      </c>
      <c r="B42" s="52">
        <f>MAX(B40,B41)</f>
        <v>4.7749421296296308</v>
      </c>
      <c r="C42" s="33" t="s">
        <v>6</v>
      </c>
      <c r="N42">
        <v>3.5999999999999997E-2</v>
      </c>
      <c r="O42">
        <f t="shared" si="25"/>
        <v>36</v>
      </c>
      <c r="P42" s="6">
        <f t="shared" si="26"/>
        <v>0.44687500000000002</v>
      </c>
      <c r="Q42" s="1">
        <f t="shared" si="27"/>
        <v>0.55312499999999998</v>
      </c>
      <c r="R42" s="1">
        <f t="shared" si="28"/>
        <v>16.829122340425535</v>
      </c>
      <c r="S42" s="7">
        <f t="shared" si="29"/>
        <v>44.414561170212764</v>
      </c>
      <c r="T42" s="6">
        <f t="shared" si="30"/>
        <v>0.29791666666666666</v>
      </c>
      <c r="U42" s="1">
        <f t="shared" si="31"/>
        <v>0.70208333333333339</v>
      </c>
      <c r="V42" s="1">
        <f t="shared" si="32"/>
        <v>21.361258865248228</v>
      </c>
      <c r="W42" s="7">
        <f t="shared" si="33"/>
        <v>46.680629432624116</v>
      </c>
      <c r="X42" s="6">
        <f t="shared" si="34"/>
        <v>0.19861111111111113</v>
      </c>
      <c r="Y42" s="1">
        <f t="shared" si="35"/>
        <v>0.80138888888888893</v>
      </c>
      <c r="Z42" s="1">
        <f t="shared" si="36"/>
        <v>24.382683215130029</v>
      </c>
      <c r="AA42" s="7">
        <f t="shared" si="37"/>
        <v>48.191341607565015</v>
      </c>
      <c r="AB42" s="6">
        <f t="shared" si="38"/>
        <v>0.25</v>
      </c>
      <c r="AC42" s="1">
        <f t="shared" si="39"/>
        <v>0.75</v>
      </c>
      <c r="AD42" s="1">
        <f t="shared" si="40"/>
        <v>19.148936170212764</v>
      </c>
      <c r="AE42" s="7">
        <f t="shared" si="41"/>
        <v>45.574468085106382</v>
      </c>
      <c r="AF42" s="6">
        <f t="shared" si="17"/>
        <v>0.29791666666666666</v>
      </c>
      <c r="AG42" s="1">
        <f t="shared" si="18"/>
        <v>0.70208333333333339</v>
      </c>
      <c r="AH42" s="1">
        <f t="shared" si="23"/>
        <v>21.361258865248228</v>
      </c>
      <c r="AI42" s="7">
        <f t="shared" si="24"/>
        <v>46.680629432624116</v>
      </c>
      <c r="AJ42" s="6">
        <f t="shared" si="42"/>
        <v>0.33333333333333331</v>
      </c>
      <c r="AK42" s="1">
        <f t="shared" si="43"/>
        <v>0.66666666666666674</v>
      </c>
      <c r="AL42" s="1">
        <f t="shared" si="44"/>
        <v>22.695035460992909</v>
      </c>
      <c r="AM42" s="7">
        <f t="shared" si="45"/>
        <v>47.347517730496456</v>
      </c>
    </row>
    <row r="43" spans="1:39">
      <c r="A43" s="33" t="s">
        <v>5</v>
      </c>
      <c r="B43" s="53">
        <f>Design_Converter!B38</f>
        <v>4.7</v>
      </c>
      <c r="C43" s="33" t="s">
        <v>6</v>
      </c>
      <c r="N43">
        <v>3.6999999999999998E-2</v>
      </c>
      <c r="O43">
        <f t="shared" si="25"/>
        <v>37</v>
      </c>
      <c r="P43" s="6">
        <f t="shared" si="26"/>
        <v>0.44687500000000002</v>
      </c>
      <c r="Q43" s="1">
        <f t="shared" si="27"/>
        <v>0.55312499999999998</v>
      </c>
      <c r="R43" s="1">
        <f t="shared" si="28"/>
        <v>16.829122340425535</v>
      </c>
      <c r="S43" s="7">
        <f t="shared" si="29"/>
        <v>45.414561170212764</v>
      </c>
      <c r="T43" s="6">
        <f t="shared" si="30"/>
        <v>0.29791666666666666</v>
      </c>
      <c r="U43" s="1">
        <f t="shared" si="31"/>
        <v>0.70208333333333339</v>
      </c>
      <c r="V43" s="1">
        <f t="shared" si="32"/>
        <v>21.361258865248228</v>
      </c>
      <c r="W43" s="7">
        <f t="shared" si="33"/>
        <v>47.680629432624116</v>
      </c>
      <c r="X43" s="6">
        <f t="shared" si="34"/>
        <v>0.19861111111111113</v>
      </c>
      <c r="Y43" s="1">
        <f t="shared" si="35"/>
        <v>0.80138888888888893</v>
      </c>
      <c r="Z43" s="1">
        <f t="shared" si="36"/>
        <v>24.382683215130029</v>
      </c>
      <c r="AA43" s="7">
        <f t="shared" si="37"/>
        <v>49.191341607565015</v>
      </c>
      <c r="AB43" s="6">
        <f t="shared" si="38"/>
        <v>0.25</v>
      </c>
      <c r="AC43" s="1">
        <f t="shared" si="39"/>
        <v>0.75</v>
      </c>
      <c r="AD43" s="1">
        <f t="shared" si="40"/>
        <v>19.148936170212764</v>
      </c>
      <c r="AE43" s="7">
        <f t="shared" si="41"/>
        <v>46.574468085106382</v>
      </c>
      <c r="AF43" s="6">
        <f t="shared" si="17"/>
        <v>0.29791666666666666</v>
      </c>
      <c r="AG43" s="1">
        <f t="shared" si="18"/>
        <v>0.70208333333333339</v>
      </c>
      <c r="AH43" s="1">
        <f t="shared" si="23"/>
        <v>21.361258865248228</v>
      </c>
      <c r="AI43" s="7">
        <f t="shared" si="24"/>
        <v>47.680629432624116</v>
      </c>
      <c r="AJ43" s="6">
        <f t="shared" si="42"/>
        <v>0.33333333333333331</v>
      </c>
      <c r="AK43" s="1">
        <f t="shared" si="43"/>
        <v>0.66666666666666674</v>
      </c>
      <c r="AL43" s="1">
        <f t="shared" si="44"/>
        <v>22.695035460992909</v>
      </c>
      <c r="AM43" s="7">
        <f t="shared" si="45"/>
        <v>48.347517730496456</v>
      </c>
    </row>
    <row r="44" spans="1:39">
      <c r="A44" s="33" t="s">
        <v>29</v>
      </c>
      <c r="B44" s="47">
        <f>Lm_DCR</f>
        <v>1E-3</v>
      </c>
      <c r="C44" s="63" t="s">
        <v>76</v>
      </c>
      <c r="N44">
        <v>3.7999999999999999E-2</v>
      </c>
      <c r="O44">
        <f t="shared" si="25"/>
        <v>38</v>
      </c>
      <c r="P44" s="6">
        <f t="shared" si="26"/>
        <v>0.44687500000000002</v>
      </c>
      <c r="Q44" s="1">
        <f t="shared" si="27"/>
        <v>0.55312499999999998</v>
      </c>
      <c r="R44" s="1">
        <f t="shared" si="28"/>
        <v>16.829122340425535</v>
      </c>
      <c r="S44" s="7">
        <f t="shared" si="29"/>
        <v>46.414561170212764</v>
      </c>
      <c r="T44" s="6">
        <f t="shared" si="30"/>
        <v>0.29791666666666666</v>
      </c>
      <c r="U44" s="1">
        <f t="shared" si="31"/>
        <v>0.70208333333333339</v>
      </c>
      <c r="V44" s="1">
        <f t="shared" si="32"/>
        <v>21.361258865248228</v>
      </c>
      <c r="W44" s="7">
        <f t="shared" si="33"/>
        <v>48.680629432624116</v>
      </c>
      <c r="X44" s="6">
        <f t="shared" si="34"/>
        <v>0.19861111111111113</v>
      </c>
      <c r="Y44" s="1">
        <f t="shared" si="35"/>
        <v>0.80138888888888893</v>
      </c>
      <c r="Z44" s="1">
        <f t="shared" si="36"/>
        <v>24.382683215130029</v>
      </c>
      <c r="AA44" s="7">
        <f t="shared" si="37"/>
        <v>50.191341607565015</v>
      </c>
      <c r="AB44" s="6">
        <f t="shared" si="38"/>
        <v>0.25</v>
      </c>
      <c r="AC44" s="1">
        <f t="shared" si="39"/>
        <v>0.75</v>
      </c>
      <c r="AD44" s="1">
        <f t="shared" si="40"/>
        <v>19.148936170212764</v>
      </c>
      <c r="AE44" s="7">
        <f t="shared" si="41"/>
        <v>47.574468085106382</v>
      </c>
      <c r="AF44" s="6">
        <f t="shared" si="17"/>
        <v>0.29791666666666666</v>
      </c>
      <c r="AG44" s="1">
        <f t="shared" si="18"/>
        <v>0.70208333333333339</v>
      </c>
      <c r="AH44" s="1">
        <f t="shared" si="23"/>
        <v>21.361258865248228</v>
      </c>
      <c r="AI44" s="7">
        <f t="shared" si="24"/>
        <v>48.680629432624116</v>
      </c>
      <c r="AJ44" s="6">
        <f t="shared" si="42"/>
        <v>0.33333333333333331</v>
      </c>
      <c r="AK44" s="1">
        <f t="shared" si="43"/>
        <v>0.66666666666666674</v>
      </c>
      <c r="AL44" s="1">
        <f t="shared" si="44"/>
        <v>22.695035460992909</v>
      </c>
      <c r="AM44" s="7">
        <f t="shared" si="45"/>
        <v>49.347517730496456</v>
      </c>
    </row>
    <row r="45" spans="1:39" ht="15.75" thickBot="1">
      <c r="A45" s="294" t="s">
        <v>10</v>
      </c>
      <c r="B45" s="295"/>
      <c r="C45" s="296"/>
      <c r="E45" s="36" t="s">
        <v>141</v>
      </c>
      <c r="N45">
        <v>3.9E-2</v>
      </c>
      <c r="O45">
        <f t="shared" si="25"/>
        <v>39</v>
      </c>
      <c r="P45" s="6">
        <f t="shared" si="26"/>
        <v>0.44687500000000002</v>
      </c>
      <c r="Q45" s="1">
        <f t="shared" si="27"/>
        <v>0.55312499999999998</v>
      </c>
      <c r="R45" s="1">
        <f t="shared" si="28"/>
        <v>16.829122340425535</v>
      </c>
      <c r="S45" s="7">
        <f t="shared" si="29"/>
        <v>47.414561170212764</v>
      </c>
      <c r="T45" s="6">
        <f t="shared" si="30"/>
        <v>0.29791666666666666</v>
      </c>
      <c r="U45" s="1">
        <f t="shared" si="31"/>
        <v>0.70208333333333339</v>
      </c>
      <c r="V45" s="1">
        <f t="shared" si="32"/>
        <v>21.361258865248228</v>
      </c>
      <c r="W45" s="7">
        <f t="shared" si="33"/>
        <v>49.680629432624116</v>
      </c>
      <c r="X45" s="6">
        <f t="shared" si="34"/>
        <v>0.19861111111111113</v>
      </c>
      <c r="Y45" s="1">
        <f t="shared" si="35"/>
        <v>0.80138888888888893</v>
      </c>
      <c r="Z45" s="1">
        <f t="shared" si="36"/>
        <v>24.382683215130029</v>
      </c>
      <c r="AA45" s="7">
        <f t="shared" si="37"/>
        <v>51.191341607565015</v>
      </c>
      <c r="AB45" s="6">
        <f t="shared" si="38"/>
        <v>0.25</v>
      </c>
      <c r="AC45" s="1">
        <f t="shared" si="39"/>
        <v>0.75</v>
      </c>
      <c r="AD45" s="1">
        <f t="shared" si="40"/>
        <v>19.148936170212764</v>
      </c>
      <c r="AE45" s="7">
        <f t="shared" si="41"/>
        <v>48.574468085106382</v>
      </c>
      <c r="AF45" s="6">
        <f t="shared" si="17"/>
        <v>0.29791666666666666</v>
      </c>
      <c r="AG45" s="1">
        <f t="shared" si="18"/>
        <v>0.70208333333333339</v>
      </c>
      <c r="AH45" s="1">
        <f t="shared" si="23"/>
        <v>21.361258865248228</v>
      </c>
      <c r="AI45" s="7">
        <f t="shared" si="24"/>
        <v>49.680629432624116</v>
      </c>
      <c r="AJ45" s="6">
        <f t="shared" si="42"/>
        <v>0.33333333333333331</v>
      </c>
      <c r="AK45" s="1">
        <f t="shared" si="43"/>
        <v>0.66666666666666674</v>
      </c>
      <c r="AL45" s="1">
        <f t="shared" si="44"/>
        <v>22.695035460992909</v>
      </c>
      <c r="AM45" s="7">
        <f t="shared" si="45"/>
        <v>50.347517730496456</v>
      </c>
    </row>
    <row r="46" spans="1:39">
      <c r="A46" s="70" t="s">
        <v>78</v>
      </c>
      <c r="B46" s="71">
        <f>((V48_Min-V12_Nom)/(2*Lm*Fsw))*((V12_Nom*Rcs)/V48_Min)*1000</f>
        <v>8.4145611702127656</v>
      </c>
      <c r="C46" s="72" t="s">
        <v>68</v>
      </c>
      <c r="N46">
        <v>0.04</v>
      </c>
      <c r="O46">
        <f t="shared" si="25"/>
        <v>40</v>
      </c>
      <c r="P46" s="6">
        <f t="shared" si="26"/>
        <v>0.44687500000000002</v>
      </c>
      <c r="Q46" s="1">
        <f t="shared" si="27"/>
        <v>0.55312499999999998</v>
      </c>
      <c r="R46" s="1">
        <f t="shared" si="28"/>
        <v>16.829122340425535</v>
      </c>
      <c r="S46" s="7">
        <f t="shared" si="29"/>
        <v>48.414561170212764</v>
      </c>
      <c r="T46" s="6">
        <f t="shared" si="30"/>
        <v>0.29791666666666666</v>
      </c>
      <c r="U46" s="1">
        <f t="shared" si="31"/>
        <v>0.70208333333333339</v>
      </c>
      <c r="V46" s="1">
        <f t="shared" si="32"/>
        <v>21.361258865248228</v>
      </c>
      <c r="W46" s="7">
        <f t="shared" si="33"/>
        <v>50.680629432624116</v>
      </c>
      <c r="X46" s="6">
        <f t="shared" si="34"/>
        <v>0.19861111111111113</v>
      </c>
      <c r="Y46" s="1">
        <f t="shared" si="35"/>
        <v>0.80138888888888893</v>
      </c>
      <c r="Z46" s="1">
        <f t="shared" si="36"/>
        <v>24.382683215130029</v>
      </c>
      <c r="AA46" s="7">
        <f t="shared" si="37"/>
        <v>52.191341607565015</v>
      </c>
      <c r="AB46" s="6">
        <f t="shared" si="38"/>
        <v>0.25</v>
      </c>
      <c r="AC46" s="1">
        <f t="shared" si="39"/>
        <v>0.75</v>
      </c>
      <c r="AD46" s="1">
        <f t="shared" si="40"/>
        <v>19.148936170212764</v>
      </c>
      <c r="AE46" s="7">
        <f t="shared" si="41"/>
        <v>49.574468085106382</v>
      </c>
      <c r="AF46" s="6">
        <f t="shared" si="17"/>
        <v>0.29791666666666666</v>
      </c>
      <c r="AG46" s="1">
        <f t="shared" si="18"/>
        <v>0.70208333333333339</v>
      </c>
      <c r="AH46" s="1">
        <f t="shared" si="23"/>
        <v>21.361258865248228</v>
      </c>
      <c r="AI46" s="7">
        <f t="shared" si="24"/>
        <v>50.680629432624116</v>
      </c>
      <c r="AJ46" s="6">
        <f t="shared" si="42"/>
        <v>0.33333333333333331</v>
      </c>
      <c r="AK46" s="1">
        <f t="shared" si="43"/>
        <v>0.66666666666666674</v>
      </c>
      <c r="AL46" s="1">
        <f t="shared" si="44"/>
        <v>22.695035460992909</v>
      </c>
      <c r="AM46" s="7">
        <f t="shared" si="45"/>
        <v>51.347517730496456</v>
      </c>
    </row>
    <row r="47" spans="1:39">
      <c r="A47" s="73" t="s">
        <v>79</v>
      </c>
      <c r="B47" s="55">
        <f>(B46/1000)/Rcs</f>
        <v>8.4145611702127656</v>
      </c>
      <c r="C47" s="42" t="s">
        <v>4</v>
      </c>
      <c r="N47">
        <v>4.1000000000000002E-2</v>
      </c>
      <c r="O47">
        <f t="shared" si="25"/>
        <v>41</v>
      </c>
      <c r="P47" s="6">
        <f t="shared" si="26"/>
        <v>0.44687500000000002</v>
      </c>
      <c r="Q47" s="1">
        <f t="shared" si="27"/>
        <v>0.55312499999999998</v>
      </c>
      <c r="R47" s="1">
        <f t="shared" si="28"/>
        <v>16.829122340425535</v>
      </c>
      <c r="S47" s="7">
        <f t="shared" si="29"/>
        <v>49.414561170212764</v>
      </c>
      <c r="T47" s="6">
        <f t="shared" si="30"/>
        <v>0.29791666666666666</v>
      </c>
      <c r="U47" s="1">
        <f t="shared" si="31"/>
        <v>0.70208333333333339</v>
      </c>
      <c r="V47" s="1">
        <f t="shared" si="32"/>
        <v>21.361258865248228</v>
      </c>
      <c r="W47" s="7">
        <f t="shared" si="33"/>
        <v>51.680629432624116</v>
      </c>
      <c r="X47" s="6">
        <f t="shared" si="34"/>
        <v>0.19861111111111113</v>
      </c>
      <c r="Y47" s="1">
        <f t="shared" si="35"/>
        <v>0.80138888888888893</v>
      </c>
      <c r="Z47" s="1">
        <f t="shared" si="36"/>
        <v>24.382683215130029</v>
      </c>
      <c r="AA47" s="7">
        <f t="shared" si="37"/>
        <v>53.191341607565015</v>
      </c>
      <c r="AB47" s="6">
        <f t="shared" si="38"/>
        <v>0.25</v>
      </c>
      <c r="AC47" s="1">
        <f t="shared" si="39"/>
        <v>0.75</v>
      </c>
      <c r="AD47" s="1">
        <f t="shared" si="40"/>
        <v>19.148936170212764</v>
      </c>
      <c r="AE47" s="7">
        <f t="shared" si="41"/>
        <v>50.574468085106382</v>
      </c>
      <c r="AF47" s="6">
        <f t="shared" si="17"/>
        <v>0.29791666666666666</v>
      </c>
      <c r="AG47" s="1">
        <f t="shared" si="18"/>
        <v>0.70208333333333339</v>
      </c>
      <c r="AH47" s="1">
        <f t="shared" si="23"/>
        <v>21.361258865248228</v>
      </c>
      <c r="AI47" s="7">
        <f t="shared" si="24"/>
        <v>51.680629432624116</v>
      </c>
      <c r="AJ47" s="6">
        <f t="shared" si="42"/>
        <v>0.33333333333333331</v>
      </c>
      <c r="AK47" s="1">
        <f t="shared" si="43"/>
        <v>0.66666666666666674</v>
      </c>
      <c r="AL47" s="1">
        <f t="shared" si="44"/>
        <v>22.695035460992909</v>
      </c>
      <c r="AM47" s="7">
        <f t="shared" si="45"/>
        <v>52.347517730496456</v>
      </c>
    </row>
    <row r="48" spans="1:39">
      <c r="A48" s="73" t="s">
        <v>285</v>
      </c>
      <c r="B48" s="48">
        <f>(V12_Nom/V48_Min)</f>
        <v>0.44687500000000002</v>
      </c>
      <c r="C48" s="42"/>
      <c r="N48">
        <v>4.2000000000000003E-2</v>
      </c>
      <c r="O48">
        <f t="shared" si="25"/>
        <v>42</v>
      </c>
      <c r="P48" s="6">
        <f t="shared" si="26"/>
        <v>0.44687500000000002</v>
      </c>
      <c r="Q48" s="1">
        <f t="shared" si="27"/>
        <v>0.55312499999999998</v>
      </c>
      <c r="R48" s="1">
        <f t="shared" si="28"/>
        <v>16.829122340425535</v>
      </c>
      <c r="S48" s="7">
        <f t="shared" si="29"/>
        <v>50.414561170212764</v>
      </c>
      <c r="T48" s="6">
        <f t="shared" si="30"/>
        <v>0.29791666666666666</v>
      </c>
      <c r="U48" s="1">
        <f t="shared" si="31"/>
        <v>0.70208333333333339</v>
      </c>
      <c r="V48" s="1">
        <f t="shared" si="32"/>
        <v>21.361258865248228</v>
      </c>
      <c r="W48" s="7">
        <f t="shared" si="33"/>
        <v>52.680629432624116</v>
      </c>
      <c r="X48" s="6">
        <f t="shared" si="34"/>
        <v>0.19861111111111113</v>
      </c>
      <c r="Y48" s="1">
        <f t="shared" si="35"/>
        <v>0.80138888888888893</v>
      </c>
      <c r="Z48" s="1">
        <f t="shared" si="36"/>
        <v>24.382683215130029</v>
      </c>
      <c r="AA48" s="7">
        <f t="shared" si="37"/>
        <v>54.191341607565015</v>
      </c>
      <c r="AB48" s="6">
        <f t="shared" si="38"/>
        <v>0.25</v>
      </c>
      <c r="AC48" s="1">
        <f t="shared" si="39"/>
        <v>0.75</v>
      </c>
      <c r="AD48" s="1">
        <f t="shared" si="40"/>
        <v>19.148936170212764</v>
      </c>
      <c r="AE48" s="7">
        <f t="shared" si="41"/>
        <v>51.574468085106382</v>
      </c>
      <c r="AF48" s="6">
        <f t="shared" si="17"/>
        <v>0.29791666666666666</v>
      </c>
      <c r="AG48" s="1">
        <f t="shared" si="18"/>
        <v>0.70208333333333339</v>
      </c>
      <c r="AH48" s="1">
        <f t="shared" si="23"/>
        <v>21.361258865248228</v>
      </c>
      <c r="AI48" s="7">
        <f t="shared" si="24"/>
        <v>52.680629432624116</v>
      </c>
      <c r="AJ48" s="6">
        <f t="shared" si="42"/>
        <v>0.33333333333333331</v>
      </c>
      <c r="AK48" s="1">
        <f t="shared" si="43"/>
        <v>0.66666666666666674</v>
      </c>
      <c r="AL48" s="1">
        <f t="shared" si="44"/>
        <v>22.695035460992909</v>
      </c>
      <c r="AM48" s="7">
        <f t="shared" si="45"/>
        <v>53.347517730496456</v>
      </c>
    </row>
    <row r="49" spans="1:42">
      <c r="A49" s="73" t="s">
        <v>70</v>
      </c>
      <c r="B49" s="54">
        <f>((V48_Nom-V12_Nom)/(2*Lm*Fsw))*((V12_Nom*Rcs)/V48_Nom)*1000</f>
        <v>10.680629432624114</v>
      </c>
      <c r="C49" s="42" t="s">
        <v>68</v>
      </c>
      <c r="N49">
        <v>4.2999999999999997E-2</v>
      </c>
      <c r="O49">
        <f t="shared" si="25"/>
        <v>42.999999999999993</v>
      </c>
      <c r="P49" s="6">
        <f t="shared" si="26"/>
        <v>0.44687500000000002</v>
      </c>
      <c r="Q49" s="1">
        <f t="shared" si="27"/>
        <v>0.55312499999999998</v>
      </c>
      <c r="R49" s="1">
        <f t="shared" si="28"/>
        <v>16.829122340425535</v>
      </c>
      <c r="S49" s="7">
        <f t="shared" si="29"/>
        <v>51.414561170212764</v>
      </c>
      <c r="T49" s="6">
        <f t="shared" si="30"/>
        <v>0.29791666666666666</v>
      </c>
      <c r="U49" s="1">
        <f t="shared" si="31"/>
        <v>0.70208333333333339</v>
      </c>
      <c r="V49" s="1">
        <f t="shared" si="32"/>
        <v>21.361258865248228</v>
      </c>
      <c r="W49" s="7">
        <f t="shared" si="33"/>
        <v>53.680629432624109</v>
      </c>
      <c r="X49" s="6">
        <f t="shared" si="34"/>
        <v>0.19861111111111113</v>
      </c>
      <c r="Y49" s="1">
        <f t="shared" si="35"/>
        <v>0.80138888888888893</v>
      </c>
      <c r="Z49" s="1">
        <f t="shared" si="36"/>
        <v>24.382683215130029</v>
      </c>
      <c r="AA49" s="7">
        <f t="shared" si="37"/>
        <v>55.191341607565008</v>
      </c>
      <c r="AB49" s="6">
        <f t="shared" si="38"/>
        <v>0.25</v>
      </c>
      <c r="AC49" s="1">
        <f t="shared" si="39"/>
        <v>0.75</v>
      </c>
      <c r="AD49" s="1">
        <f t="shared" si="40"/>
        <v>19.148936170212764</v>
      </c>
      <c r="AE49" s="7">
        <f t="shared" si="41"/>
        <v>52.574468085106375</v>
      </c>
      <c r="AF49" s="6">
        <f t="shared" si="17"/>
        <v>0.29791666666666666</v>
      </c>
      <c r="AG49" s="1">
        <f t="shared" si="18"/>
        <v>0.70208333333333339</v>
      </c>
      <c r="AH49" s="1">
        <f t="shared" si="23"/>
        <v>21.361258865248228</v>
      </c>
      <c r="AI49" s="7">
        <f t="shared" si="24"/>
        <v>53.680629432624109</v>
      </c>
      <c r="AJ49" s="6">
        <f t="shared" si="42"/>
        <v>0.33333333333333331</v>
      </c>
      <c r="AK49" s="1">
        <f t="shared" si="43"/>
        <v>0.66666666666666674</v>
      </c>
      <c r="AL49" s="1">
        <f t="shared" si="44"/>
        <v>22.695035460992909</v>
      </c>
      <c r="AM49" s="7">
        <f t="shared" si="45"/>
        <v>54.347517730496449</v>
      </c>
    </row>
    <row r="50" spans="1:42">
      <c r="A50" s="73" t="s">
        <v>77</v>
      </c>
      <c r="B50" s="55">
        <f>(B49/1000)/Rcs</f>
        <v>10.680629432624114</v>
      </c>
      <c r="C50" s="42" t="s">
        <v>4</v>
      </c>
      <c r="N50">
        <v>4.3999999999999997E-2</v>
      </c>
      <c r="O50">
        <f t="shared" si="25"/>
        <v>44</v>
      </c>
      <c r="P50" s="6">
        <f t="shared" si="26"/>
        <v>0.44687500000000002</v>
      </c>
      <c r="Q50" s="1">
        <f t="shared" si="27"/>
        <v>0.55312499999999998</v>
      </c>
      <c r="R50" s="1">
        <f t="shared" si="28"/>
        <v>16.829122340425535</v>
      </c>
      <c r="S50" s="7">
        <f t="shared" si="29"/>
        <v>52.414561170212764</v>
      </c>
      <c r="T50" s="6">
        <f t="shared" si="30"/>
        <v>0.29791666666666666</v>
      </c>
      <c r="U50" s="1">
        <f t="shared" si="31"/>
        <v>0.70208333333333339</v>
      </c>
      <c r="V50" s="1">
        <f t="shared" si="32"/>
        <v>21.361258865248228</v>
      </c>
      <c r="W50" s="7">
        <f t="shared" si="33"/>
        <v>54.680629432624116</v>
      </c>
      <c r="X50" s="6">
        <f t="shared" si="34"/>
        <v>0.19861111111111113</v>
      </c>
      <c r="Y50" s="1">
        <f t="shared" si="35"/>
        <v>0.80138888888888893</v>
      </c>
      <c r="Z50" s="1">
        <f t="shared" si="36"/>
        <v>24.382683215130029</v>
      </c>
      <c r="AA50" s="7">
        <f t="shared" si="37"/>
        <v>56.191341607565015</v>
      </c>
      <c r="AB50" s="6">
        <f t="shared" si="38"/>
        <v>0.25</v>
      </c>
      <c r="AC50" s="1">
        <f t="shared" si="39"/>
        <v>0.75</v>
      </c>
      <c r="AD50" s="1">
        <f t="shared" si="40"/>
        <v>19.148936170212764</v>
      </c>
      <c r="AE50" s="7">
        <f t="shared" si="41"/>
        <v>53.574468085106382</v>
      </c>
      <c r="AF50" s="6">
        <f t="shared" si="17"/>
        <v>0.29791666666666666</v>
      </c>
      <c r="AG50" s="1">
        <f t="shared" si="18"/>
        <v>0.70208333333333339</v>
      </c>
      <c r="AH50" s="1">
        <f t="shared" si="23"/>
        <v>21.361258865248228</v>
      </c>
      <c r="AI50" s="7">
        <f t="shared" si="24"/>
        <v>54.680629432624116</v>
      </c>
      <c r="AJ50" s="6">
        <f t="shared" si="42"/>
        <v>0.33333333333333331</v>
      </c>
      <c r="AK50" s="1">
        <f t="shared" si="43"/>
        <v>0.66666666666666674</v>
      </c>
      <c r="AL50" s="1">
        <f t="shared" si="44"/>
        <v>22.695035460992909</v>
      </c>
      <c r="AM50" s="7">
        <f t="shared" si="45"/>
        <v>55.347517730496456</v>
      </c>
    </row>
    <row r="51" spans="1:42">
      <c r="A51" s="73" t="s">
        <v>285</v>
      </c>
      <c r="B51" s="59">
        <f>(V12_Nom/V48_Nom)</f>
        <v>0.29791666666666666</v>
      </c>
      <c r="C51" s="42"/>
      <c r="N51">
        <v>4.4999999999999998E-2</v>
      </c>
      <c r="O51">
        <f t="shared" si="25"/>
        <v>45</v>
      </c>
      <c r="P51" s="6">
        <f t="shared" si="26"/>
        <v>0.44687500000000002</v>
      </c>
      <c r="Q51" s="1">
        <f t="shared" si="27"/>
        <v>0.55312499999999998</v>
      </c>
      <c r="R51" s="1">
        <f t="shared" si="28"/>
        <v>16.829122340425535</v>
      </c>
      <c r="S51" s="7">
        <f t="shared" si="29"/>
        <v>53.414561170212764</v>
      </c>
      <c r="T51" s="6">
        <f t="shared" si="30"/>
        <v>0.29791666666666666</v>
      </c>
      <c r="U51" s="1">
        <f t="shared" si="31"/>
        <v>0.70208333333333339</v>
      </c>
      <c r="V51" s="1">
        <f t="shared" si="32"/>
        <v>21.361258865248228</v>
      </c>
      <c r="W51" s="7">
        <f t="shared" si="33"/>
        <v>55.680629432624116</v>
      </c>
      <c r="X51" s="6">
        <f t="shared" si="34"/>
        <v>0.19861111111111113</v>
      </c>
      <c r="Y51" s="1">
        <f t="shared" si="35"/>
        <v>0.80138888888888893</v>
      </c>
      <c r="Z51" s="1">
        <f t="shared" si="36"/>
        <v>24.382683215130029</v>
      </c>
      <c r="AA51" s="7">
        <f t="shared" si="37"/>
        <v>57.191341607565015</v>
      </c>
      <c r="AB51" s="6">
        <f t="shared" si="38"/>
        <v>0.25</v>
      </c>
      <c r="AC51" s="1">
        <f t="shared" si="39"/>
        <v>0.75</v>
      </c>
      <c r="AD51" s="1">
        <f t="shared" si="40"/>
        <v>19.148936170212764</v>
      </c>
      <c r="AE51" s="7">
        <f t="shared" si="41"/>
        <v>54.574468085106382</v>
      </c>
      <c r="AF51" s="6">
        <f t="shared" si="17"/>
        <v>0.29791666666666666</v>
      </c>
      <c r="AG51" s="1">
        <f t="shared" si="18"/>
        <v>0.70208333333333339</v>
      </c>
      <c r="AH51" s="1">
        <f t="shared" si="23"/>
        <v>21.361258865248228</v>
      </c>
      <c r="AI51" s="7">
        <f t="shared" si="24"/>
        <v>55.680629432624116</v>
      </c>
      <c r="AJ51" s="6">
        <f t="shared" si="42"/>
        <v>0.33333333333333331</v>
      </c>
      <c r="AK51" s="1">
        <f t="shared" si="43"/>
        <v>0.66666666666666674</v>
      </c>
      <c r="AL51" s="1">
        <f t="shared" si="44"/>
        <v>22.695035460992909</v>
      </c>
      <c r="AM51" s="7">
        <f t="shared" si="45"/>
        <v>56.347517730496456</v>
      </c>
    </row>
    <row r="52" spans="1:42">
      <c r="A52" s="73" t="s">
        <v>80</v>
      </c>
      <c r="B52" s="54">
        <f>((V48_Max-V12_Nom)/(2*Lm*Fsw))*((V12_Nom*Rcs)/V48_Max)*1000</f>
        <v>12.191341607565013</v>
      </c>
      <c r="C52" s="42" t="s">
        <v>68</v>
      </c>
      <c r="N52">
        <v>4.5999999999999999E-2</v>
      </c>
      <c r="O52">
        <f t="shared" si="25"/>
        <v>46</v>
      </c>
      <c r="P52" s="6">
        <f t="shared" si="26"/>
        <v>0.44687500000000002</v>
      </c>
      <c r="Q52" s="1">
        <f t="shared" si="27"/>
        <v>0.55312499999999998</v>
      </c>
      <c r="R52" s="1">
        <f t="shared" si="28"/>
        <v>16.829122340425535</v>
      </c>
      <c r="S52" s="7">
        <f t="shared" si="29"/>
        <v>54.414561170212764</v>
      </c>
      <c r="T52" s="6">
        <f t="shared" si="30"/>
        <v>0.29791666666666666</v>
      </c>
      <c r="U52" s="1">
        <f t="shared" si="31"/>
        <v>0.70208333333333339</v>
      </c>
      <c r="V52" s="1">
        <f t="shared" si="32"/>
        <v>21.361258865248228</v>
      </c>
      <c r="W52" s="7">
        <f t="shared" si="33"/>
        <v>56.680629432624116</v>
      </c>
      <c r="X52" s="6">
        <f t="shared" si="34"/>
        <v>0.19861111111111113</v>
      </c>
      <c r="Y52" s="1">
        <f t="shared" si="35"/>
        <v>0.80138888888888893</v>
      </c>
      <c r="Z52" s="1">
        <f t="shared" si="36"/>
        <v>24.382683215130029</v>
      </c>
      <c r="AA52" s="7">
        <f t="shared" si="37"/>
        <v>58.191341607565015</v>
      </c>
      <c r="AB52" s="6">
        <f t="shared" si="38"/>
        <v>0.25</v>
      </c>
      <c r="AC52" s="1">
        <f t="shared" si="39"/>
        <v>0.75</v>
      </c>
      <c r="AD52" s="1">
        <f t="shared" si="40"/>
        <v>19.148936170212764</v>
      </c>
      <c r="AE52" s="7">
        <f t="shared" si="41"/>
        <v>55.574468085106382</v>
      </c>
      <c r="AF52" s="6">
        <f t="shared" si="17"/>
        <v>0.29791666666666666</v>
      </c>
      <c r="AG52" s="1">
        <f t="shared" si="18"/>
        <v>0.70208333333333339</v>
      </c>
      <c r="AH52" s="1">
        <f t="shared" si="23"/>
        <v>21.361258865248228</v>
      </c>
      <c r="AI52" s="7">
        <f t="shared" si="24"/>
        <v>56.680629432624116</v>
      </c>
      <c r="AJ52" s="6">
        <f t="shared" si="42"/>
        <v>0.33333333333333331</v>
      </c>
      <c r="AK52" s="1">
        <f t="shared" si="43"/>
        <v>0.66666666666666674</v>
      </c>
      <c r="AL52" s="1">
        <f t="shared" si="44"/>
        <v>22.695035460992909</v>
      </c>
      <c r="AM52" s="7">
        <f t="shared" si="45"/>
        <v>57.347517730496456</v>
      </c>
    </row>
    <row r="53" spans="1:42">
      <c r="A53" s="73" t="s">
        <v>81</v>
      </c>
      <c r="B53" s="55">
        <f>(B52/1000)/Rcs</f>
        <v>12.191341607565013</v>
      </c>
      <c r="C53" s="42" t="s">
        <v>4</v>
      </c>
      <c r="N53">
        <v>4.7E-2</v>
      </c>
      <c r="O53">
        <f t="shared" si="25"/>
        <v>47</v>
      </c>
      <c r="P53" s="6">
        <f t="shared" si="26"/>
        <v>0.44687500000000002</v>
      </c>
      <c r="Q53" s="1">
        <f t="shared" si="27"/>
        <v>0.55312499999999998</v>
      </c>
      <c r="R53" s="1">
        <f t="shared" si="28"/>
        <v>16.829122340425535</v>
      </c>
      <c r="S53" s="7">
        <f t="shared" si="29"/>
        <v>55.414561170212764</v>
      </c>
      <c r="T53" s="6">
        <f t="shared" si="30"/>
        <v>0.29791666666666666</v>
      </c>
      <c r="U53" s="1">
        <f t="shared" si="31"/>
        <v>0.70208333333333339</v>
      </c>
      <c r="V53" s="1">
        <f t="shared" si="32"/>
        <v>21.361258865248228</v>
      </c>
      <c r="W53" s="7">
        <f t="shared" si="33"/>
        <v>57.680629432624116</v>
      </c>
      <c r="X53" s="6">
        <f t="shared" si="34"/>
        <v>0.19861111111111113</v>
      </c>
      <c r="Y53" s="1">
        <f t="shared" si="35"/>
        <v>0.80138888888888893</v>
      </c>
      <c r="Z53" s="1">
        <f t="shared" si="36"/>
        <v>24.382683215130029</v>
      </c>
      <c r="AA53" s="7">
        <f t="shared" si="37"/>
        <v>59.191341607565015</v>
      </c>
      <c r="AB53" s="6">
        <f t="shared" si="38"/>
        <v>0.25</v>
      </c>
      <c r="AC53" s="1">
        <f t="shared" si="39"/>
        <v>0.75</v>
      </c>
      <c r="AD53" s="1">
        <f t="shared" si="40"/>
        <v>19.148936170212764</v>
      </c>
      <c r="AE53" s="7">
        <f t="shared" si="41"/>
        <v>56.574468085106382</v>
      </c>
      <c r="AF53" s="6">
        <f t="shared" si="17"/>
        <v>0.29791666666666666</v>
      </c>
      <c r="AG53" s="1">
        <f t="shared" si="18"/>
        <v>0.70208333333333339</v>
      </c>
      <c r="AH53" s="1">
        <f t="shared" si="23"/>
        <v>21.361258865248228</v>
      </c>
      <c r="AI53" s="7">
        <f t="shared" si="24"/>
        <v>57.680629432624116</v>
      </c>
      <c r="AJ53" s="6">
        <f t="shared" si="42"/>
        <v>0.33333333333333331</v>
      </c>
      <c r="AK53" s="1">
        <f t="shared" si="43"/>
        <v>0.66666666666666674</v>
      </c>
      <c r="AL53" s="1">
        <f t="shared" si="44"/>
        <v>22.695035460992909</v>
      </c>
      <c r="AM53" s="7">
        <f t="shared" si="45"/>
        <v>58.347517730496456</v>
      </c>
    </row>
    <row r="54" spans="1:42" ht="15.75" thickBot="1">
      <c r="A54" s="74" t="s">
        <v>285</v>
      </c>
      <c r="B54" s="55">
        <f>(V12_Nom/V48_Max)</f>
        <v>0.19861111111111113</v>
      </c>
      <c r="C54" s="75"/>
      <c r="N54">
        <v>4.8000000000000001E-2</v>
      </c>
      <c r="O54">
        <f t="shared" si="25"/>
        <v>48</v>
      </c>
      <c r="P54" s="6">
        <f t="shared" si="26"/>
        <v>0.44687500000000002</v>
      </c>
      <c r="Q54" s="1">
        <f t="shared" si="27"/>
        <v>0.55312499999999998</v>
      </c>
      <c r="R54" s="1">
        <f t="shared" si="28"/>
        <v>16.829122340425535</v>
      </c>
      <c r="S54" s="7">
        <f t="shared" si="29"/>
        <v>56.414561170212764</v>
      </c>
      <c r="T54" s="6">
        <f t="shared" si="30"/>
        <v>0.29791666666666666</v>
      </c>
      <c r="U54" s="1">
        <f t="shared" si="31"/>
        <v>0.70208333333333339</v>
      </c>
      <c r="V54" s="1">
        <f t="shared" si="32"/>
        <v>21.361258865248228</v>
      </c>
      <c r="W54" s="7">
        <f t="shared" si="33"/>
        <v>58.680629432624116</v>
      </c>
      <c r="X54" s="6">
        <f t="shared" si="34"/>
        <v>0.19861111111111113</v>
      </c>
      <c r="Y54" s="1">
        <f t="shared" si="35"/>
        <v>0.80138888888888893</v>
      </c>
      <c r="Z54" s="1">
        <f t="shared" si="36"/>
        <v>24.382683215130029</v>
      </c>
      <c r="AA54" s="7">
        <f t="shared" si="37"/>
        <v>60.191341607565015</v>
      </c>
      <c r="AB54" s="6">
        <f t="shared" si="38"/>
        <v>0.25</v>
      </c>
      <c r="AC54" s="1">
        <f t="shared" si="39"/>
        <v>0.75</v>
      </c>
      <c r="AD54" s="1">
        <f t="shared" si="40"/>
        <v>19.148936170212764</v>
      </c>
      <c r="AE54" s="7">
        <f t="shared" si="41"/>
        <v>57.574468085106382</v>
      </c>
      <c r="AF54" s="6">
        <f t="shared" si="17"/>
        <v>0.29791666666666666</v>
      </c>
      <c r="AG54" s="1">
        <f t="shared" si="18"/>
        <v>0.70208333333333339</v>
      </c>
      <c r="AH54" s="1">
        <f t="shared" si="23"/>
        <v>21.361258865248228</v>
      </c>
      <c r="AI54" s="7">
        <f t="shared" si="24"/>
        <v>58.680629432624116</v>
      </c>
      <c r="AJ54" s="6">
        <f t="shared" si="42"/>
        <v>0.33333333333333331</v>
      </c>
      <c r="AK54" s="1">
        <f t="shared" si="43"/>
        <v>0.66666666666666674</v>
      </c>
      <c r="AL54" s="1">
        <f t="shared" si="44"/>
        <v>22.695035460992909</v>
      </c>
      <c r="AM54" s="7">
        <f t="shared" si="45"/>
        <v>59.347517730496456</v>
      </c>
    </row>
    <row r="55" spans="1:42">
      <c r="A55" s="70" t="s">
        <v>284</v>
      </c>
      <c r="B55" s="71">
        <f>((V48_Nom-V12_Min)/(2*Lm*Fsw))*((V12_Min*Rcs)/V48_Nom)*1000</f>
        <v>9.5744680851063855</v>
      </c>
      <c r="C55" s="72" t="s">
        <v>68</v>
      </c>
      <c r="N55">
        <v>4.9000000000000002E-2</v>
      </c>
      <c r="O55">
        <f t="shared" si="25"/>
        <v>49</v>
      </c>
      <c r="P55" s="6">
        <f t="shared" si="26"/>
        <v>0.44687500000000002</v>
      </c>
      <c r="Q55" s="1">
        <f t="shared" si="27"/>
        <v>0.55312499999999998</v>
      </c>
      <c r="R55" s="1">
        <f t="shared" si="28"/>
        <v>16.829122340425535</v>
      </c>
      <c r="S55" s="7">
        <f t="shared" si="29"/>
        <v>57.414561170212764</v>
      </c>
      <c r="T55" s="6">
        <f t="shared" si="30"/>
        <v>0.29791666666666666</v>
      </c>
      <c r="U55" s="1">
        <f t="shared" si="31"/>
        <v>0.70208333333333339</v>
      </c>
      <c r="V55" s="1">
        <f t="shared" si="32"/>
        <v>21.361258865248228</v>
      </c>
      <c r="W55" s="7">
        <f t="shared" si="33"/>
        <v>59.680629432624116</v>
      </c>
      <c r="X55" s="6">
        <f t="shared" si="34"/>
        <v>0.19861111111111113</v>
      </c>
      <c r="Y55" s="1">
        <f t="shared" si="35"/>
        <v>0.80138888888888893</v>
      </c>
      <c r="Z55" s="1">
        <f t="shared" si="36"/>
        <v>24.382683215130029</v>
      </c>
      <c r="AA55" s="7">
        <f t="shared" si="37"/>
        <v>61.191341607565015</v>
      </c>
      <c r="AB55" s="6">
        <f t="shared" si="38"/>
        <v>0.25</v>
      </c>
      <c r="AC55" s="1">
        <f t="shared" si="39"/>
        <v>0.75</v>
      </c>
      <c r="AD55" s="1">
        <f t="shared" si="40"/>
        <v>19.148936170212764</v>
      </c>
      <c r="AE55" s="7">
        <f t="shared" si="41"/>
        <v>58.574468085106382</v>
      </c>
      <c r="AF55" s="6">
        <f t="shared" si="17"/>
        <v>0.29791666666666666</v>
      </c>
      <c r="AG55" s="1">
        <f t="shared" si="18"/>
        <v>0.70208333333333339</v>
      </c>
      <c r="AH55" s="1">
        <f t="shared" si="23"/>
        <v>21.361258865248228</v>
      </c>
      <c r="AI55" s="7">
        <f t="shared" si="24"/>
        <v>59.680629432624116</v>
      </c>
      <c r="AJ55" s="6">
        <f t="shared" si="42"/>
        <v>0.33333333333333331</v>
      </c>
      <c r="AK55" s="1">
        <f t="shared" si="43"/>
        <v>0.66666666666666674</v>
      </c>
      <c r="AL55" s="1">
        <f t="shared" si="44"/>
        <v>22.695035460992909</v>
      </c>
      <c r="AM55" s="7">
        <f t="shared" si="45"/>
        <v>60.347517730496456</v>
      </c>
    </row>
    <row r="56" spans="1:42">
      <c r="A56" s="73" t="s">
        <v>283</v>
      </c>
      <c r="B56" s="55">
        <f>(B55/1000)/Rcs</f>
        <v>9.5744680851063837</v>
      </c>
      <c r="C56" s="42" t="s">
        <v>4</v>
      </c>
      <c r="N56">
        <v>0.05</v>
      </c>
      <c r="O56">
        <f t="shared" si="25"/>
        <v>50</v>
      </c>
      <c r="P56" s="6">
        <f t="shared" si="26"/>
        <v>0.44687500000000002</v>
      </c>
      <c r="Q56" s="1">
        <f t="shared" si="27"/>
        <v>0.55312499999999998</v>
      </c>
      <c r="R56" s="1">
        <f t="shared" si="28"/>
        <v>16.829122340425535</v>
      </c>
      <c r="S56" s="7">
        <f t="shared" si="29"/>
        <v>58.414561170212764</v>
      </c>
      <c r="T56" s="6">
        <f t="shared" si="30"/>
        <v>0.29791666666666666</v>
      </c>
      <c r="U56" s="1">
        <f t="shared" si="31"/>
        <v>0.70208333333333339</v>
      </c>
      <c r="V56" s="1">
        <f t="shared" si="32"/>
        <v>21.361258865248228</v>
      </c>
      <c r="W56" s="7">
        <f t="shared" si="33"/>
        <v>60.680629432624116</v>
      </c>
      <c r="X56" s="6">
        <f t="shared" si="34"/>
        <v>0.19861111111111113</v>
      </c>
      <c r="Y56" s="1">
        <f t="shared" si="35"/>
        <v>0.80138888888888893</v>
      </c>
      <c r="Z56" s="1">
        <f t="shared" si="36"/>
        <v>24.382683215130029</v>
      </c>
      <c r="AA56" s="7">
        <f t="shared" si="37"/>
        <v>62.191341607565015</v>
      </c>
      <c r="AB56" s="6">
        <f t="shared" si="38"/>
        <v>0.25</v>
      </c>
      <c r="AC56" s="1">
        <f t="shared" si="39"/>
        <v>0.75</v>
      </c>
      <c r="AD56" s="1">
        <f t="shared" si="40"/>
        <v>19.148936170212764</v>
      </c>
      <c r="AE56" s="7">
        <f t="shared" si="41"/>
        <v>59.574468085106382</v>
      </c>
      <c r="AF56" s="6">
        <f t="shared" si="17"/>
        <v>0.29791666666666666</v>
      </c>
      <c r="AG56" s="1">
        <f t="shared" si="18"/>
        <v>0.70208333333333339</v>
      </c>
      <c r="AH56" s="1">
        <f t="shared" si="23"/>
        <v>21.361258865248228</v>
      </c>
      <c r="AI56" s="7">
        <f t="shared" si="24"/>
        <v>60.680629432624116</v>
      </c>
      <c r="AJ56" s="6">
        <f t="shared" si="42"/>
        <v>0.33333333333333331</v>
      </c>
      <c r="AK56" s="1">
        <f t="shared" si="43"/>
        <v>0.66666666666666674</v>
      </c>
      <c r="AL56" s="1">
        <f t="shared" si="44"/>
        <v>22.695035460992909</v>
      </c>
      <c r="AM56" s="7">
        <f t="shared" si="45"/>
        <v>61.347517730496456</v>
      </c>
    </row>
    <row r="57" spans="1:42">
      <c r="A57" s="73" t="s">
        <v>285</v>
      </c>
      <c r="B57" s="48">
        <f>1-(V12_Min/V48_Nom)</f>
        <v>0.75</v>
      </c>
      <c r="C57" s="42"/>
      <c r="N57" s="21"/>
    </row>
    <row r="58" spans="1:42">
      <c r="A58" s="73" t="s">
        <v>70</v>
      </c>
      <c r="B58" s="54">
        <f>((V48_Nom-V12_Nom)/(2*Lm*Fsw))*((V12_Nom*Rcs)/V48_Nom)*1000</f>
        <v>10.680629432624114</v>
      </c>
      <c r="C58" s="42" t="s">
        <v>68</v>
      </c>
      <c r="N58" s="181"/>
      <c r="O58" s="181"/>
      <c r="P58" s="181" t="s">
        <v>75</v>
      </c>
      <c r="Q58" s="181"/>
      <c r="R58" s="181"/>
      <c r="S58" s="181"/>
      <c r="T58" s="181"/>
      <c r="U58" s="181"/>
      <c r="V58" s="181"/>
      <c r="W58" s="181"/>
      <c r="X58" s="181"/>
      <c r="Y58" s="181"/>
      <c r="Z58" s="181"/>
      <c r="AA58" s="181"/>
      <c r="AD58" s="292" t="s">
        <v>75</v>
      </c>
      <c r="AE58" s="292"/>
      <c r="AF58" s="292"/>
      <c r="AG58" s="292"/>
      <c r="AH58" s="292"/>
      <c r="AI58" s="292"/>
      <c r="AJ58" s="292"/>
      <c r="AK58" s="292"/>
      <c r="AL58" s="292"/>
      <c r="AM58" s="292"/>
      <c r="AN58" s="292"/>
      <c r="AO58" s="292"/>
    </row>
    <row r="59" spans="1:42" ht="15.75" thickBot="1">
      <c r="A59" s="73" t="s">
        <v>77</v>
      </c>
      <c r="B59" s="55">
        <f>(B58/1000)/Rcs</f>
        <v>10.680629432624114</v>
      </c>
      <c r="C59" s="42" t="s">
        <v>4</v>
      </c>
      <c r="N59" s="181"/>
      <c r="O59" s="181"/>
      <c r="P59" s="182" t="s">
        <v>72</v>
      </c>
      <c r="Q59" s="182"/>
      <c r="R59" s="182"/>
      <c r="S59" s="182"/>
      <c r="T59" s="182" t="s">
        <v>73</v>
      </c>
      <c r="U59" s="182"/>
      <c r="V59" s="182"/>
      <c r="W59" s="182"/>
      <c r="X59" s="182" t="s">
        <v>74</v>
      </c>
      <c r="Y59" s="182"/>
      <c r="Z59" s="182"/>
      <c r="AA59" s="182"/>
      <c r="AC59" s="181"/>
      <c r="AD59" s="181"/>
      <c r="AE59" s="182" t="s">
        <v>99</v>
      </c>
      <c r="AF59" s="182"/>
      <c r="AG59" s="182"/>
      <c r="AH59" s="182"/>
      <c r="AI59" s="182" t="s">
        <v>100</v>
      </c>
      <c r="AJ59" s="182"/>
      <c r="AK59" s="182"/>
      <c r="AL59" s="182"/>
      <c r="AM59" s="182" t="s">
        <v>101</v>
      </c>
      <c r="AN59" s="182"/>
      <c r="AO59" s="182"/>
      <c r="AP59" s="182"/>
    </row>
    <row r="60" spans="1:42" ht="18.75" customHeight="1" thickBot="1">
      <c r="A60" s="73" t="s">
        <v>285</v>
      </c>
      <c r="B60" s="55">
        <f>1-(V12_Nom/V48_Nom)</f>
        <v>0.70208333333333339</v>
      </c>
      <c r="C60" s="42"/>
      <c r="N60" s="181"/>
      <c r="O60" s="181" t="s">
        <v>30</v>
      </c>
      <c r="P60" s="18" t="s">
        <v>15</v>
      </c>
      <c r="Q60" s="19" t="s">
        <v>14</v>
      </c>
      <c r="R60" s="19" t="s">
        <v>13</v>
      </c>
      <c r="S60" s="20" t="s">
        <v>12</v>
      </c>
      <c r="T60" s="18" t="s">
        <v>15</v>
      </c>
      <c r="U60" s="19" t="s">
        <v>14</v>
      </c>
      <c r="V60" s="19" t="s">
        <v>13</v>
      </c>
      <c r="W60" s="20" t="s">
        <v>12</v>
      </c>
      <c r="X60" s="18" t="s">
        <v>15</v>
      </c>
      <c r="Y60" s="19" t="s">
        <v>14</v>
      </c>
      <c r="Z60" s="19" t="s">
        <v>13</v>
      </c>
      <c r="AA60" s="20" t="s">
        <v>12</v>
      </c>
      <c r="AC60" s="181"/>
      <c r="AD60" s="181" t="s">
        <v>98</v>
      </c>
      <c r="AE60" s="18" t="s">
        <v>15</v>
      </c>
      <c r="AF60" s="19" t="s">
        <v>14</v>
      </c>
      <c r="AG60" s="19" t="s">
        <v>13</v>
      </c>
      <c r="AH60" s="20" t="s">
        <v>12</v>
      </c>
      <c r="AI60" s="18" t="s">
        <v>15</v>
      </c>
      <c r="AJ60" s="19" t="s">
        <v>14</v>
      </c>
      <c r="AK60" s="19" t="s">
        <v>13</v>
      </c>
      <c r="AL60" s="20" t="s">
        <v>12</v>
      </c>
      <c r="AM60" s="18" t="s">
        <v>15</v>
      </c>
      <c r="AN60" s="19" t="s">
        <v>14</v>
      </c>
      <c r="AO60" s="19" t="s">
        <v>13</v>
      </c>
      <c r="AP60" s="20" t="s">
        <v>12</v>
      </c>
    </row>
    <row r="61" spans="1:42">
      <c r="A61" s="73" t="s">
        <v>282</v>
      </c>
      <c r="B61" s="54">
        <f>((V48_Nom-V12_Max)/(2*Lm*Fsw))*((V12_Max*Rcs)/V48_Nom)*1000</f>
        <v>11.347517730496453</v>
      </c>
      <c r="C61" s="42" t="s">
        <v>68</v>
      </c>
      <c r="N61">
        <v>0</v>
      </c>
      <c r="O61">
        <f>V48_Min</f>
        <v>32</v>
      </c>
      <c r="P61" s="15">
        <f t="shared" ref="P61:P92" si="46">IF(I_Channel&lt;(($O61-V12_Min)*V12_Min)/((2*Lm*Fsw)*$O61),SQRT((2*I_Channel*Lm*Fsw*V12_Min)/($O61*($O61-V12_Min))),(V12_Min/$O61))</f>
        <v>0.375</v>
      </c>
      <c r="Q61" s="16">
        <f t="shared" ref="Q61:Q92" si="47">IF(I_Channel&lt;(($O61-V12_Min)*V12_Min)/((2*Lm*Fsw)*$O61),SQRT((2*I_Channel*Lm*Fsw*V12_Min)/($O61*($O61-V12_Min)))*(($O61-V12_Min)/(V12_Min)),1-(V12_Min/$O61))</f>
        <v>0.625</v>
      </c>
      <c r="R61" s="16">
        <f t="shared" ref="R61:R92" si="48">IF(I_Channel&lt;(($O61-V12_Min)*V12_Min)/((2*Lm*Fsw)*$O61),(P61/(Fsw*Lm))*($O61-V12_Min),((P61/(Fsw*Lm))*($O61-V12_Min)))</f>
        <v>15.957446808510641</v>
      </c>
      <c r="S61" s="17">
        <f t="shared" ref="S61:S92" si="49">IF(I_Channel&lt;(($O61-V12_Min)*V12_Min)/((2*Lm*Fsw)*$O61),(P61/(Fsw*Lm))*($O61-V12_Min),(R61/2)+I_Channel)</f>
        <v>57.978723404255319</v>
      </c>
      <c r="T61" s="15">
        <f t="shared" ref="T61:T92" si="50">IF(I_Channel&lt;(($O61-V12_Nom)*V12_Nom)/((2*Lm*Fsw)*$O61),SQRT((2*I_Channel*Lm*Fsw*V12_Nom)/($O61*($O61-V12_Nom))),(V12_Nom/$O61))</f>
        <v>0.44687500000000002</v>
      </c>
      <c r="U61" s="16">
        <f t="shared" ref="U61:U92" si="51">IF(I_Channel&lt;(($O61-V12_Nom)*V12_Nom)/((2*Lm*Fsw)*$O61),SQRT((2*I_Channel*Lm*Fsw*V12_Nom)/($O61*($O61-V12_Nom)))*(($O61-V12_Nom)/(V12_Nom)),1-(V12_Nom/$O61))</f>
        <v>0.55312499999999998</v>
      </c>
      <c r="V61" s="16">
        <f t="shared" ref="V61:V92" si="52">IF(I_Channel&lt;(($O61-V12_Nom)*V12_Nom)/((2*Lm*Fsw)*$O61),(T61/(Fsw*Lm))*($O61-V12_Nom),((T61/(Fsw*Lm))*($O61-V12_Nom)))</f>
        <v>16.829122340425535</v>
      </c>
      <c r="W61" s="17">
        <f t="shared" ref="W61:W92" si="53">IF(I_Channel&lt;(($O61-V12_Nom)*V12_Nom)/((2*Lm*Fsw)*$O61),(T61/(Fsw*Lm))*($O61-V12_Nom),(V61/2)+I_Channel)</f>
        <v>58.414561170212764</v>
      </c>
      <c r="X61" s="15">
        <f t="shared" ref="X61:X92" si="54">IF(I_Channel&lt;(($O61-V12_Max)*V12_Max)/((2*Lm*Fsw)*$O61),SQRT((2*I_Channel*Lm*Fsw*V12_Max)/($O61*($O61-V12_Max))),(V12_Max/$O61))</f>
        <v>0.5</v>
      </c>
      <c r="Y61" s="16">
        <f t="shared" ref="Y61:Y92" si="55">IF(I_Channel&lt;(($O61-V12_Max)*V12_Max)/((2*Lm*Fsw)*$O61),SQRT((2*I_Channel*Lm*Fsw*V12_Max)/($O61*($O61-V12_Max)))*(($O61-V12_Max)/(V12_Max)),1-(V12_Max/$O61))</f>
        <v>0.5</v>
      </c>
      <c r="Z61" s="16">
        <f t="shared" ref="Z61:Z92" si="56">IF(I_Channel&lt;(($O61-V12_Max)*V12_Max)/((2*Lm*Fsw)*$O61),(X61/(Fsw*Lm))*($O61-V12_Max),((X61/(Fsw*Lm))*($O61-V12_Max)))</f>
        <v>17.021276595744681</v>
      </c>
      <c r="AA61" s="17">
        <f t="shared" ref="AA61:AA92" si="57">IF(I_Channel&lt;(($O61-V12_Max)*V12_Max)/((2*Lm*Fsw)*$O61),(X61/(Fsw*Lm))*($O61-V12_Max),(Z61/2)+I_Channel)</f>
        <v>58.51063829787234</v>
      </c>
      <c r="AC61">
        <v>0</v>
      </c>
      <c r="AD61">
        <f>V12_Min</f>
        <v>12</v>
      </c>
      <c r="AE61" s="15">
        <f t="shared" ref="AE61:AE92" si="58">IF(I_Channel&lt;((V48_Min-$AD61)*$AD61)/((2*Lm*Fsw)*V48_Min),SQRT((2*I_Channel*Lm*Fsw*$AD61)/(V48_Min*(V48_Min-$AD61))),($AD61/V48_Min))</f>
        <v>0.375</v>
      </c>
      <c r="AF61" s="16">
        <f t="shared" ref="AF61:AF92" si="59">IF(I_Channel&lt;((V48_Min-$AD61)*$AD61)/((2*Lm*Fsw)*V48_Min),SQRT((2*I_Channel*Lm*Fsw*$AD61)/(V48_Min*(V48_Min-$AD61)))*((V48_Min-$AD61)/($AD61)),1-($AD61/V48_Min))</f>
        <v>0.625</v>
      </c>
      <c r="AG61" s="16">
        <f t="shared" ref="AG61:AG92" si="60">IF(I_Channel&lt;((V48_Min-$AD61)*$AD61)/((2*Lm*Fsw)*V48_Min),(AE61/(Fsw*Lm))*(V48_Min-$AD61),((AE61/(Fsw*Lm))*(V48_Min-$AD61)))</f>
        <v>15.957446808510641</v>
      </c>
      <c r="AH61" s="17">
        <f t="shared" ref="AH61:AH92" si="61">IF(I_Channel&lt;((V48_Min-$AD61)*$AD61)/((2*Lm*Fsw)*V48_Min),(AE61/(Fsw*Lm))*(V48_Min-$AD61),(AG61/2)+I_Channel)</f>
        <v>57.978723404255319</v>
      </c>
      <c r="AI61" s="15">
        <f t="shared" ref="AI61:AI92" si="62">IF(I_Channel&lt;((V48_Nom-$AD61)*$AD61)/((2*Lm*Fsw)*V48_Nom),SQRT((2*I_Channel*Lm*Fsw*$AD61)/(V48_Nom*(V48_Nom-$AD61))),($AD61/V48_Nom))</f>
        <v>0.25</v>
      </c>
      <c r="AJ61" s="16">
        <f t="shared" ref="AJ61:AJ92" si="63">IF(I_Channel&lt;((V48_Nom-$AD61)*$AD61)/((2*Lm*Fsw)*V48_Nom),SQRT((2*I_Channel*Lm*Fsw*$AD61)/(V48_Nom*(V48_Nom-$AD61)))*((V48_Nom-$AD61)/($AD61)),1-($AD61/V48_Nom))</f>
        <v>0.75</v>
      </c>
      <c r="AK61" s="16">
        <f t="shared" ref="AK61:AK92" si="64">IF(I_Channel&lt;((V48_Nom-$AD61)*$AD61)/((2*Lm*Fsw)*V48_Nom),(AI61/(Fsw*Lm))*(V48_Nom-$AD61),((AI61/(Fsw*Lm))*(V48_Nom-$AD61)))</f>
        <v>19.148936170212764</v>
      </c>
      <c r="AL61" s="17">
        <f t="shared" ref="AL61:AL92" si="65">IF(I_Channel&lt;((V48_Nom-$AD61)*$AD61)/((2*Lm*Fsw)*V48_Nom),(AI61/(Fsw*Lm))*(V48_Nom-$AD61),(AK61/2)+I_Channel)</f>
        <v>59.574468085106382</v>
      </c>
      <c r="AM61" s="15">
        <f t="shared" ref="AM61:AM92" si="66">IF(I_Channel&lt;((V48_Max-$AD61)*$AD61)/((2*Lm*Fsw)*V48_Max),SQRT((2*I_Channel*Lm*Fsw*$AD61)/(V48_Max*(V48_Max-$AD61))),($AD61/V48_Max))</f>
        <v>0.16666666666666666</v>
      </c>
      <c r="AN61" s="16">
        <f t="shared" ref="AN61:AN92" si="67">IF(I_Channel&lt;((V48_Max-$AD61)*$AD61)/((2*Lm*Fsw)*V48_Max),SQRT((2*I_Channel*Lm*Fsw*$AD61)/(V48_Max*(V48_Max-$AD61)))*((V48_Max-$AD61)/($AD61)),1-($AD61/V48_Max))</f>
        <v>0.83333333333333337</v>
      </c>
      <c r="AO61" s="16">
        <f t="shared" ref="AO61:AO92" si="68">IF(I_Channel&lt;((V48_Max-$AD61)*$AD61)/((2*Lm*Fsw)*V48_Max),(AM61/(Fsw*Lm))*(V48_Max-$AD61),((AM61/(Fsw*Lm))*(V48_Max-$AD61)))</f>
        <v>21.276595744680851</v>
      </c>
      <c r="AP61" s="17">
        <f t="shared" ref="AP61:AP92" si="69">IF(I_Channel&lt;((V48_Max-$AD61)*$AD61)/((2*Lm*Fsw)*V48_Max),(AM61/(Fsw*Lm))*(V48_Max-$AD61),(AO61/2)+I_Channel)</f>
        <v>60.638297872340424</v>
      </c>
    </row>
    <row r="62" spans="1:42">
      <c r="A62" s="73" t="s">
        <v>281</v>
      </c>
      <c r="B62" s="55">
        <f>(B61/1000)/Rcs</f>
        <v>11.347517730496453</v>
      </c>
      <c r="C62" s="42" t="s">
        <v>4</v>
      </c>
      <c r="N62">
        <v>1</v>
      </c>
      <c r="O62">
        <f t="shared" ref="O62:O93" si="70">((V48_Max-V48_Min)/50)*N62+V48_Min</f>
        <v>32.799999999999997</v>
      </c>
      <c r="P62" s="15">
        <f t="shared" si="46"/>
        <v>0.36585365853658541</v>
      </c>
      <c r="Q62" s="16">
        <f t="shared" si="47"/>
        <v>0.63414634146341453</v>
      </c>
      <c r="R62" s="16">
        <f t="shared" si="48"/>
        <v>16.190970420342502</v>
      </c>
      <c r="S62" s="17">
        <f t="shared" si="49"/>
        <v>58.095485210171248</v>
      </c>
      <c r="T62" s="15">
        <f t="shared" si="50"/>
        <v>0.43597560975609762</v>
      </c>
      <c r="U62" s="16">
        <f t="shared" si="51"/>
        <v>0.56402439024390238</v>
      </c>
      <c r="V62" s="16">
        <f t="shared" si="52"/>
        <v>17.160742086144264</v>
      </c>
      <c r="W62" s="17">
        <f t="shared" si="53"/>
        <v>58.580371043072134</v>
      </c>
      <c r="X62" s="15">
        <f t="shared" si="54"/>
        <v>0.48780487804878053</v>
      </c>
      <c r="Y62" s="16">
        <f t="shared" si="55"/>
        <v>0.51219512195121952</v>
      </c>
      <c r="Z62" s="16">
        <f t="shared" si="56"/>
        <v>17.436429683445773</v>
      </c>
      <c r="AA62" s="17">
        <f t="shared" si="57"/>
        <v>58.718214841722883</v>
      </c>
      <c r="AC62">
        <v>1</v>
      </c>
      <c r="AD62">
        <f t="shared" ref="AD62:AD93" si="71">((V12_Max-V12_Min)/50)*AC62+V12_Min</f>
        <v>12.08</v>
      </c>
      <c r="AE62" s="15">
        <f t="shared" si="58"/>
        <v>0.3775</v>
      </c>
      <c r="AF62" s="16">
        <f t="shared" si="59"/>
        <v>0.62250000000000005</v>
      </c>
      <c r="AG62" s="16">
        <f t="shared" si="60"/>
        <v>15.999574468085108</v>
      </c>
      <c r="AH62" s="17">
        <f t="shared" si="61"/>
        <v>57.999787234042557</v>
      </c>
      <c r="AI62" s="15">
        <f t="shared" si="62"/>
        <v>0.25166666666666665</v>
      </c>
      <c r="AJ62" s="16">
        <f t="shared" si="63"/>
        <v>0.74833333333333329</v>
      </c>
      <c r="AK62" s="16">
        <f t="shared" si="64"/>
        <v>19.233758865248227</v>
      </c>
      <c r="AL62" s="17">
        <f t="shared" si="65"/>
        <v>59.616879432624117</v>
      </c>
      <c r="AM62" s="15">
        <f t="shared" si="66"/>
        <v>0.16777777777777778</v>
      </c>
      <c r="AN62" s="16">
        <f t="shared" si="67"/>
        <v>0.8322222222222222</v>
      </c>
      <c r="AO62" s="16">
        <f t="shared" si="68"/>
        <v>21.389881796690307</v>
      </c>
      <c r="AP62" s="17">
        <f t="shared" si="69"/>
        <v>60.694940898345152</v>
      </c>
    </row>
    <row r="63" spans="1:42" ht="15.75" thickBot="1">
      <c r="A63" s="74" t="s">
        <v>285</v>
      </c>
      <c r="B63" s="209">
        <f>1-(V12_Max/V48_Nom)</f>
        <v>0.66666666666666674</v>
      </c>
      <c r="C63" s="75"/>
      <c r="N63">
        <v>2</v>
      </c>
      <c r="O63">
        <f t="shared" si="70"/>
        <v>33.6</v>
      </c>
      <c r="P63" s="15">
        <f t="shared" si="46"/>
        <v>0.35714285714285715</v>
      </c>
      <c r="Q63" s="16">
        <f t="shared" si="47"/>
        <v>0.64285714285714279</v>
      </c>
      <c r="R63" s="16">
        <f t="shared" si="48"/>
        <v>16.413373860182372</v>
      </c>
      <c r="S63" s="17">
        <f t="shared" si="49"/>
        <v>58.206686930091188</v>
      </c>
      <c r="T63" s="15">
        <f t="shared" si="50"/>
        <v>0.42559523809523808</v>
      </c>
      <c r="U63" s="16">
        <f t="shared" si="51"/>
        <v>0.57440476190476186</v>
      </c>
      <c r="V63" s="16">
        <f t="shared" si="52"/>
        <v>17.476570415400204</v>
      </c>
      <c r="W63" s="17">
        <f t="shared" si="53"/>
        <v>58.738285207700102</v>
      </c>
      <c r="X63" s="15">
        <f t="shared" si="54"/>
        <v>0.47619047619047616</v>
      </c>
      <c r="Y63" s="16">
        <f t="shared" si="55"/>
        <v>0.52380952380952384</v>
      </c>
      <c r="Z63" s="16">
        <f t="shared" si="56"/>
        <v>17.831813576494429</v>
      </c>
      <c r="AA63" s="17">
        <f t="shared" si="57"/>
        <v>58.915906788247213</v>
      </c>
      <c r="AC63">
        <v>2</v>
      </c>
      <c r="AD63">
        <f t="shared" si="71"/>
        <v>12.16</v>
      </c>
      <c r="AE63" s="15">
        <f t="shared" si="58"/>
        <v>0.38</v>
      </c>
      <c r="AF63" s="16">
        <f t="shared" si="59"/>
        <v>0.62</v>
      </c>
      <c r="AG63" s="16">
        <f t="shared" si="60"/>
        <v>16.040851063829788</v>
      </c>
      <c r="AH63" s="17">
        <f t="shared" si="61"/>
        <v>58.020425531914896</v>
      </c>
      <c r="AI63" s="15">
        <f t="shared" si="62"/>
        <v>0.25333333333333335</v>
      </c>
      <c r="AJ63" s="16">
        <f t="shared" si="63"/>
        <v>0.74666666666666659</v>
      </c>
      <c r="AK63" s="16">
        <f t="shared" si="64"/>
        <v>19.318014184397168</v>
      </c>
      <c r="AL63" s="17">
        <f t="shared" si="65"/>
        <v>59.659007092198586</v>
      </c>
      <c r="AM63" s="15">
        <f t="shared" si="66"/>
        <v>0.16888888888888889</v>
      </c>
      <c r="AN63" s="16">
        <f t="shared" si="67"/>
        <v>0.83111111111111113</v>
      </c>
      <c r="AO63" s="16">
        <f t="shared" si="68"/>
        <v>21.502789598108748</v>
      </c>
      <c r="AP63" s="17">
        <f t="shared" si="69"/>
        <v>60.751394799054374</v>
      </c>
    </row>
    <row r="64" spans="1:42">
      <c r="N64">
        <v>3</v>
      </c>
      <c r="O64">
        <f t="shared" si="70"/>
        <v>34.4</v>
      </c>
      <c r="P64" s="15">
        <f t="shared" si="46"/>
        <v>0.34883720930232559</v>
      </c>
      <c r="Q64" s="16">
        <f t="shared" si="47"/>
        <v>0.65116279069767447</v>
      </c>
      <c r="R64" s="16">
        <f t="shared" si="48"/>
        <v>16.625432953983179</v>
      </c>
      <c r="S64" s="17">
        <f t="shared" si="49"/>
        <v>58.312716476991589</v>
      </c>
      <c r="T64" s="15">
        <f t="shared" si="50"/>
        <v>0.41569767441860467</v>
      </c>
      <c r="U64" s="16">
        <f t="shared" si="51"/>
        <v>0.58430232558139528</v>
      </c>
      <c r="V64" s="16">
        <f t="shared" si="52"/>
        <v>17.777709054923303</v>
      </c>
      <c r="W64" s="17">
        <f t="shared" si="53"/>
        <v>58.888854527461653</v>
      </c>
      <c r="X64" s="15">
        <f t="shared" si="54"/>
        <v>0.46511627906976744</v>
      </c>
      <c r="Y64" s="16">
        <f t="shared" si="55"/>
        <v>0.53488372093023262</v>
      </c>
      <c r="Z64" s="16">
        <f t="shared" si="56"/>
        <v>18.208807521029193</v>
      </c>
      <c r="AA64" s="17">
        <f t="shared" si="57"/>
        <v>59.1044037605146</v>
      </c>
      <c r="AC64">
        <v>3</v>
      </c>
      <c r="AD64">
        <f t="shared" si="71"/>
        <v>12.24</v>
      </c>
      <c r="AE64" s="15">
        <f t="shared" si="58"/>
        <v>0.38250000000000001</v>
      </c>
      <c r="AF64" s="16">
        <f t="shared" si="59"/>
        <v>0.61749999999999994</v>
      </c>
      <c r="AG64" s="16">
        <f t="shared" si="60"/>
        <v>16.081276595744683</v>
      </c>
      <c r="AH64" s="17">
        <f t="shared" si="61"/>
        <v>58.040638297872341</v>
      </c>
      <c r="AI64" s="15">
        <f t="shared" si="62"/>
        <v>0.255</v>
      </c>
      <c r="AJ64" s="16">
        <f t="shared" si="63"/>
        <v>0.745</v>
      </c>
      <c r="AK64" s="16">
        <f t="shared" si="64"/>
        <v>19.401702127659576</v>
      </c>
      <c r="AL64" s="17">
        <f t="shared" si="65"/>
        <v>59.700851063829788</v>
      </c>
      <c r="AM64" s="15">
        <f t="shared" si="66"/>
        <v>0.17</v>
      </c>
      <c r="AN64" s="16">
        <f t="shared" si="67"/>
        <v>0.83</v>
      </c>
      <c r="AO64" s="16">
        <f t="shared" si="68"/>
        <v>21.61531914893617</v>
      </c>
      <c r="AP64" s="17">
        <f t="shared" si="69"/>
        <v>60.807659574468083</v>
      </c>
    </row>
    <row r="65" spans="1:42">
      <c r="N65">
        <v>4</v>
      </c>
      <c r="O65">
        <f t="shared" si="70"/>
        <v>35.200000000000003</v>
      </c>
      <c r="P65" s="15">
        <f t="shared" si="46"/>
        <v>0.34090909090909088</v>
      </c>
      <c r="Q65" s="16">
        <f t="shared" si="47"/>
        <v>0.65909090909090917</v>
      </c>
      <c r="R65" s="16">
        <f t="shared" si="48"/>
        <v>16.827852998065765</v>
      </c>
      <c r="S65" s="17">
        <f t="shared" si="49"/>
        <v>58.413926499032883</v>
      </c>
      <c r="T65" s="15">
        <f t="shared" si="50"/>
        <v>0.40625</v>
      </c>
      <c r="U65" s="16">
        <f t="shared" si="51"/>
        <v>0.59375</v>
      </c>
      <c r="V65" s="16">
        <f t="shared" si="52"/>
        <v>18.065159574468087</v>
      </c>
      <c r="W65" s="17">
        <f t="shared" si="53"/>
        <v>59.032579787234042</v>
      </c>
      <c r="X65" s="15">
        <f t="shared" si="54"/>
        <v>0.45454545454545453</v>
      </c>
      <c r="Y65" s="16">
        <f t="shared" si="55"/>
        <v>0.54545454545454541</v>
      </c>
      <c r="Z65" s="16">
        <f t="shared" si="56"/>
        <v>18.568665377176018</v>
      </c>
      <c r="AA65" s="17">
        <f t="shared" si="57"/>
        <v>59.284332688588009</v>
      </c>
      <c r="AC65">
        <v>4</v>
      </c>
      <c r="AD65">
        <f t="shared" si="71"/>
        <v>12.32</v>
      </c>
      <c r="AE65" s="15">
        <f t="shared" si="58"/>
        <v>0.38500000000000001</v>
      </c>
      <c r="AF65" s="16">
        <f t="shared" si="59"/>
        <v>0.61499999999999999</v>
      </c>
      <c r="AG65" s="16">
        <f t="shared" si="60"/>
        <v>16.120851063829786</v>
      </c>
      <c r="AH65" s="17">
        <f t="shared" si="61"/>
        <v>58.060425531914895</v>
      </c>
      <c r="AI65" s="15">
        <f t="shared" si="62"/>
        <v>0.25666666666666665</v>
      </c>
      <c r="AJ65" s="16">
        <f t="shared" si="63"/>
        <v>0.7433333333333334</v>
      </c>
      <c r="AK65" s="16">
        <f t="shared" si="64"/>
        <v>19.484822695035461</v>
      </c>
      <c r="AL65" s="17">
        <f t="shared" si="65"/>
        <v>59.742411347517731</v>
      </c>
      <c r="AM65" s="15">
        <f t="shared" si="66"/>
        <v>0.1711111111111111</v>
      </c>
      <c r="AN65" s="16">
        <f t="shared" si="67"/>
        <v>0.8288888888888889</v>
      </c>
      <c r="AO65" s="16">
        <f t="shared" si="68"/>
        <v>21.727470449172579</v>
      </c>
      <c r="AP65" s="17">
        <f t="shared" si="69"/>
        <v>60.863735224586293</v>
      </c>
    </row>
    <row r="66" spans="1:42">
      <c r="N66">
        <v>5</v>
      </c>
      <c r="O66">
        <f t="shared" si="70"/>
        <v>36</v>
      </c>
      <c r="P66" s="15">
        <f t="shared" si="46"/>
        <v>0.33333333333333331</v>
      </c>
      <c r="Q66" s="16">
        <f t="shared" si="47"/>
        <v>0.66666666666666674</v>
      </c>
      <c r="R66" s="16">
        <f t="shared" si="48"/>
        <v>17.021276595744681</v>
      </c>
      <c r="S66" s="17">
        <f t="shared" si="49"/>
        <v>58.51063829787234</v>
      </c>
      <c r="T66" s="15">
        <f t="shared" si="50"/>
        <v>0.39722222222222225</v>
      </c>
      <c r="U66" s="16">
        <f t="shared" si="51"/>
        <v>0.60277777777777775</v>
      </c>
      <c r="V66" s="16">
        <f t="shared" si="52"/>
        <v>18.339834515366434</v>
      </c>
      <c r="W66" s="17">
        <f t="shared" si="53"/>
        <v>59.169917257683217</v>
      </c>
      <c r="X66" s="15">
        <f t="shared" si="54"/>
        <v>0.44444444444444442</v>
      </c>
      <c r="Y66" s="16">
        <f t="shared" si="55"/>
        <v>0.55555555555555558</v>
      </c>
      <c r="Z66" s="16">
        <f t="shared" si="56"/>
        <v>18.912529550827422</v>
      </c>
      <c r="AA66" s="17">
        <f t="shared" si="57"/>
        <v>59.456264775413715</v>
      </c>
      <c r="AC66">
        <v>5</v>
      </c>
      <c r="AD66">
        <f t="shared" si="71"/>
        <v>12.4</v>
      </c>
      <c r="AE66" s="15">
        <f t="shared" si="58"/>
        <v>0.38750000000000001</v>
      </c>
      <c r="AF66" s="16">
        <f t="shared" si="59"/>
        <v>0.61250000000000004</v>
      </c>
      <c r="AG66" s="16">
        <f t="shared" si="60"/>
        <v>16.159574468085108</v>
      </c>
      <c r="AH66" s="17">
        <f t="shared" si="61"/>
        <v>58.079787234042556</v>
      </c>
      <c r="AI66" s="15">
        <f t="shared" si="62"/>
        <v>0.25833333333333336</v>
      </c>
      <c r="AJ66" s="16">
        <f t="shared" si="63"/>
        <v>0.7416666666666667</v>
      </c>
      <c r="AK66" s="16">
        <f t="shared" si="64"/>
        <v>19.567375886524825</v>
      </c>
      <c r="AL66" s="17">
        <f t="shared" si="65"/>
        <v>59.783687943262414</v>
      </c>
      <c r="AM66" s="15">
        <f t="shared" si="66"/>
        <v>0.17222222222222222</v>
      </c>
      <c r="AN66" s="16">
        <f t="shared" si="67"/>
        <v>0.82777777777777772</v>
      </c>
      <c r="AO66" s="16">
        <f t="shared" si="68"/>
        <v>21.839243498817968</v>
      </c>
      <c r="AP66" s="17">
        <f t="shared" si="69"/>
        <v>60.919621749408982</v>
      </c>
    </row>
    <row r="67" spans="1:42" ht="15.75" thickBot="1">
      <c r="N67">
        <v>6</v>
      </c>
      <c r="O67">
        <f t="shared" si="70"/>
        <v>36.799999999999997</v>
      </c>
      <c r="P67" s="15">
        <f t="shared" si="46"/>
        <v>0.32608695652173914</v>
      </c>
      <c r="Q67" s="16">
        <f t="shared" si="47"/>
        <v>0.67391304347826086</v>
      </c>
      <c r="R67" s="16">
        <f t="shared" si="48"/>
        <v>17.206290471785383</v>
      </c>
      <c r="S67" s="17">
        <f t="shared" si="49"/>
        <v>58.60314523589269</v>
      </c>
      <c r="T67" s="15">
        <f t="shared" si="50"/>
        <v>0.38858695652173919</v>
      </c>
      <c r="U67" s="16">
        <f t="shared" si="51"/>
        <v>0.61141304347826075</v>
      </c>
      <c r="V67" s="16">
        <f t="shared" si="52"/>
        <v>18.602567067530064</v>
      </c>
      <c r="W67" s="17">
        <f t="shared" si="53"/>
        <v>59.30128353376503</v>
      </c>
      <c r="X67" s="15">
        <f t="shared" si="54"/>
        <v>0.43478260869565222</v>
      </c>
      <c r="Y67" s="16">
        <f t="shared" si="55"/>
        <v>0.56521739130434778</v>
      </c>
      <c r="Z67" s="16">
        <f t="shared" si="56"/>
        <v>19.241443108233117</v>
      </c>
      <c r="AA67" s="17">
        <f t="shared" si="57"/>
        <v>59.620721554116557</v>
      </c>
      <c r="AC67">
        <v>6</v>
      </c>
      <c r="AD67">
        <f t="shared" si="71"/>
        <v>12.48</v>
      </c>
      <c r="AE67" s="15">
        <f t="shared" si="58"/>
        <v>0.39</v>
      </c>
      <c r="AF67" s="16">
        <f t="shared" si="59"/>
        <v>0.61</v>
      </c>
      <c r="AG67" s="16">
        <f t="shared" si="60"/>
        <v>16.197446808510641</v>
      </c>
      <c r="AH67" s="17">
        <f t="shared" si="61"/>
        <v>58.098723404255324</v>
      </c>
      <c r="AI67" s="15">
        <f t="shared" si="62"/>
        <v>0.26</v>
      </c>
      <c r="AJ67" s="16">
        <f t="shared" si="63"/>
        <v>0.74</v>
      </c>
      <c r="AK67" s="16">
        <f t="shared" si="64"/>
        <v>19.64936170212766</v>
      </c>
      <c r="AL67" s="17">
        <f t="shared" si="65"/>
        <v>59.824680851063832</v>
      </c>
      <c r="AM67" s="15">
        <f t="shared" si="66"/>
        <v>0.17333333333333334</v>
      </c>
      <c r="AN67" s="16">
        <f t="shared" si="67"/>
        <v>0.82666666666666666</v>
      </c>
      <c r="AO67" s="16">
        <f t="shared" si="68"/>
        <v>21.950638297872342</v>
      </c>
      <c r="AP67" s="17">
        <f t="shared" si="69"/>
        <v>60.975319148936173</v>
      </c>
    </row>
    <row r="68" spans="1:42">
      <c r="A68" s="286" t="s">
        <v>69</v>
      </c>
      <c r="B68" s="287"/>
      <c r="C68" s="288"/>
      <c r="E68" s="61" t="s">
        <v>140</v>
      </c>
      <c r="N68">
        <v>7</v>
      </c>
      <c r="O68">
        <f t="shared" si="70"/>
        <v>37.6</v>
      </c>
      <c r="P68" s="15">
        <f t="shared" si="46"/>
        <v>0.31914893617021273</v>
      </c>
      <c r="Q68" s="16">
        <f t="shared" si="47"/>
        <v>0.68085106382978733</v>
      </c>
      <c r="R68" s="16">
        <f t="shared" si="48"/>
        <v>17.383431416930737</v>
      </c>
      <c r="S68" s="17">
        <f t="shared" si="49"/>
        <v>58.691715708465367</v>
      </c>
      <c r="T68" s="15">
        <f t="shared" si="50"/>
        <v>0.38031914893617019</v>
      </c>
      <c r="U68" s="16">
        <f t="shared" si="51"/>
        <v>0.61968085106382986</v>
      </c>
      <c r="V68" s="16">
        <f t="shared" si="52"/>
        <v>18.854119511090992</v>
      </c>
      <c r="W68" s="17">
        <f t="shared" si="53"/>
        <v>59.4270597555455</v>
      </c>
      <c r="X68" s="15">
        <f t="shared" si="54"/>
        <v>0.42553191489361702</v>
      </c>
      <c r="Y68" s="16">
        <f t="shared" si="55"/>
        <v>0.57446808510638303</v>
      </c>
      <c r="Z68" s="16">
        <f t="shared" si="56"/>
        <v>19.556360344047082</v>
      </c>
      <c r="AA68" s="17">
        <f t="shared" si="57"/>
        <v>59.778180172023539</v>
      </c>
      <c r="AC68">
        <v>7</v>
      </c>
      <c r="AD68">
        <f t="shared" si="71"/>
        <v>12.56</v>
      </c>
      <c r="AE68" s="15">
        <f t="shared" si="58"/>
        <v>0.39250000000000002</v>
      </c>
      <c r="AF68" s="16">
        <f t="shared" si="59"/>
        <v>0.60749999999999993</v>
      </c>
      <c r="AG68" s="16">
        <f t="shared" si="60"/>
        <v>16.234468085106382</v>
      </c>
      <c r="AH68" s="17">
        <f t="shared" si="61"/>
        <v>58.117234042553193</v>
      </c>
      <c r="AI68" s="15">
        <f t="shared" si="62"/>
        <v>0.26166666666666666</v>
      </c>
      <c r="AJ68" s="16">
        <f t="shared" si="63"/>
        <v>0.73833333333333329</v>
      </c>
      <c r="AK68" s="16">
        <f t="shared" si="64"/>
        <v>19.730780141843969</v>
      </c>
      <c r="AL68" s="17">
        <f t="shared" si="65"/>
        <v>59.865390070921983</v>
      </c>
      <c r="AM68" s="15">
        <f t="shared" si="66"/>
        <v>0.17444444444444446</v>
      </c>
      <c r="AN68" s="16">
        <f t="shared" si="67"/>
        <v>0.8255555555555556</v>
      </c>
      <c r="AO68" s="16">
        <f t="shared" si="68"/>
        <v>22.061654846335699</v>
      </c>
      <c r="AP68" s="17">
        <f t="shared" si="69"/>
        <v>61.03082742316785</v>
      </c>
    </row>
    <row r="69" spans="1:42">
      <c r="A69" s="210" t="s">
        <v>67</v>
      </c>
      <c r="B69" s="55">
        <f>IF(V48_Max/2&gt;V12_Nom,((V48_Max-V12_Nom)*(V12_Nom/V48_Max))/(Lm*Fsw),((V48_Max-(V48_Max/2))*(V12_Nom/V48_Max))/(Lm*Fsw))</f>
        <v>24.382683215130029</v>
      </c>
      <c r="C69" s="42" t="s">
        <v>4</v>
      </c>
      <c r="E69" s="36" t="s">
        <v>162</v>
      </c>
      <c r="N69">
        <v>8</v>
      </c>
      <c r="O69">
        <f t="shared" si="70"/>
        <v>38.4</v>
      </c>
      <c r="P69" s="15">
        <f t="shared" si="46"/>
        <v>0.3125</v>
      </c>
      <c r="Q69" s="16">
        <f t="shared" si="47"/>
        <v>0.6875</v>
      </c>
      <c r="R69" s="16">
        <f t="shared" si="48"/>
        <v>17.553191489361701</v>
      </c>
      <c r="S69" s="17">
        <f t="shared" si="49"/>
        <v>58.776595744680847</v>
      </c>
      <c r="T69" s="15">
        <f t="shared" si="50"/>
        <v>0.37239583333333337</v>
      </c>
      <c r="U69" s="16">
        <f t="shared" si="51"/>
        <v>0.62760416666666663</v>
      </c>
      <c r="V69" s="16">
        <f t="shared" si="52"/>
        <v>19.095190602836883</v>
      </c>
      <c r="W69" s="17">
        <f t="shared" si="53"/>
        <v>59.54759530141844</v>
      </c>
      <c r="X69" s="15">
        <f t="shared" si="54"/>
        <v>0.41666666666666669</v>
      </c>
      <c r="Y69" s="16">
        <f t="shared" si="55"/>
        <v>0.58333333333333326</v>
      </c>
      <c r="Z69" s="16">
        <f t="shared" si="56"/>
        <v>19.858156028368793</v>
      </c>
      <c r="AA69" s="17">
        <f t="shared" si="57"/>
        <v>59.929078014184398</v>
      </c>
      <c r="AC69">
        <v>8</v>
      </c>
      <c r="AD69">
        <f t="shared" si="71"/>
        <v>12.64</v>
      </c>
      <c r="AE69" s="15">
        <f t="shared" si="58"/>
        <v>0.39500000000000002</v>
      </c>
      <c r="AF69" s="16">
        <f t="shared" si="59"/>
        <v>0.60499999999999998</v>
      </c>
      <c r="AG69" s="16">
        <f t="shared" si="60"/>
        <v>16.270638297872342</v>
      </c>
      <c r="AH69" s="17">
        <f t="shared" si="61"/>
        <v>58.135319148936169</v>
      </c>
      <c r="AI69" s="15">
        <f t="shared" si="62"/>
        <v>0.26333333333333336</v>
      </c>
      <c r="AJ69" s="16">
        <f t="shared" si="63"/>
        <v>0.73666666666666658</v>
      </c>
      <c r="AK69" s="16">
        <f t="shared" si="64"/>
        <v>19.811631205673763</v>
      </c>
      <c r="AL69" s="17">
        <f t="shared" si="65"/>
        <v>59.905815602836881</v>
      </c>
      <c r="AM69" s="15">
        <f t="shared" si="66"/>
        <v>0.17555555555555558</v>
      </c>
      <c r="AN69" s="16">
        <f t="shared" si="67"/>
        <v>0.82444444444444442</v>
      </c>
      <c r="AO69" s="16">
        <f t="shared" si="68"/>
        <v>22.172293144208041</v>
      </c>
      <c r="AP69" s="17">
        <f t="shared" si="69"/>
        <v>61.08614657210402</v>
      </c>
    </row>
    <row r="70" spans="1:42">
      <c r="A70" s="211" t="s">
        <v>380</v>
      </c>
      <c r="B70" s="55">
        <f>(V48_Max-V12_Nom)*(V12_Nom/V48_Max)/(B43*Fsw)*(1000000)</f>
        <v>24.382683215130026</v>
      </c>
      <c r="C70" s="42" t="s">
        <v>4</v>
      </c>
      <c r="N70">
        <v>9</v>
      </c>
      <c r="O70">
        <f t="shared" si="70"/>
        <v>39.200000000000003</v>
      </c>
      <c r="P70" s="15">
        <f t="shared" si="46"/>
        <v>0.30612244897959179</v>
      </c>
      <c r="Q70" s="16">
        <f t="shared" si="47"/>
        <v>0.69387755102040827</v>
      </c>
      <c r="R70" s="16">
        <f t="shared" si="48"/>
        <v>17.716022579244463</v>
      </c>
      <c r="S70" s="17">
        <f t="shared" si="49"/>
        <v>58.858011289622233</v>
      </c>
      <c r="T70" s="15">
        <f t="shared" si="50"/>
        <v>0.36479591836734693</v>
      </c>
      <c r="U70" s="16">
        <f t="shared" si="51"/>
        <v>0.63520408163265307</v>
      </c>
      <c r="V70" s="16">
        <f t="shared" si="52"/>
        <v>19.326422058184978</v>
      </c>
      <c r="W70" s="17">
        <f t="shared" si="53"/>
        <v>59.663211029092487</v>
      </c>
      <c r="X70" s="15">
        <f t="shared" si="54"/>
        <v>0.4081632653061224</v>
      </c>
      <c r="Y70" s="16">
        <f t="shared" si="55"/>
        <v>0.59183673469387754</v>
      </c>
      <c r="Z70" s="16">
        <f t="shared" si="56"/>
        <v>20.147633521493706</v>
      </c>
      <c r="AA70" s="17">
        <f t="shared" si="57"/>
        <v>60.073816760746851</v>
      </c>
      <c r="AC70">
        <v>9</v>
      </c>
      <c r="AD70">
        <f t="shared" si="71"/>
        <v>12.72</v>
      </c>
      <c r="AE70" s="15">
        <f t="shared" si="58"/>
        <v>0.39750000000000002</v>
      </c>
      <c r="AF70" s="16">
        <f t="shared" si="59"/>
        <v>0.60250000000000004</v>
      </c>
      <c r="AG70" s="16">
        <f t="shared" si="60"/>
        <v>16.305957446808513</v>
      </c>
      <c r="AH70" s="17">
        <f t="shared" si="61"/>
        <v>58.15297872340426</v>
      </c>
      <c r="AI70" s="15">
        <f t="shared" si="62"/>
        <v>0.26500000000000001</v>
      </c>
      <c r="AJ70" s="16">
        <f t="shared" si="63"/>
        <v>0.73499999999999999</v>
      </c>
      <c r="AK70" s="16">
        <f t="shared" si="64"/>
        <v>19.891914893617024</v>
      </c>
      <c r="AL70" s="17">
        <f t="shared" si="65"/>
        <v>59.945957446808514</v>
      </c>
      <c r="AM70" s="15">
        <f t="shared" si="66"/>
        <v>0.17666666666666667</v>
      </c>
      <c r="AN70" s="16">
        <f t="shared" si="67"/>
        <v>0.82333333333333336</v>
      </c>
      <c r="AO70" s="16">
        <f t="shared" si="68"/>
        <v>22.282553191489363</v>
      </c>
      <c r="AP70" s="17">
        <f t="shared" si="69"/>
        <v>61.141276595744685</v>
      </c>
    </row>
    <row r="71" spans="1:42">
      <c r="A71" s="211" t="s">
        <v>381</v>
      </c>
      <c r="B71" s="55"/>
      <c r="C71" s="42" t="s">
        <v>4</v>
      </c>
      <c r="E71" s="36" t="s">
        <v>384</v>
      </c>
      <c r="N71">
        <v>10</v>
      </c>
      <c r="O71">
        <f t="shared" si="70"/>
        <v>40</v>
      </c>
      <c r="P71" s="15">
        <f t="shared" si="46"/>
        <v>0.3</v>
      </c>
      <c r="Q71" s="16">
        <f t="shared" si="47"/>
        <v>0.7</v>
      </c>
      <c r="R71" s="16">
        <f t="shared" si="48"/>
        <v>17.872340425531917</v>
      </c>
      <c r="S71" s="17">
        <f t="shared" si="49"/>
        <v>58.936170212765958</v>
      </c>
      <c r="T71" s="15">
        <f t="shared" si="50"/>
        <v>0.35750000000000004</v>
      </c>
      <c r="U71" s="16">
        <f t="shared" si="51"/>
        <v>0.64249999999999996</v>
      </c>
      <c r="V71" s="16">
        <f t="shared" si="52"/>
        <v>19.548404255319152</v>
      </c>
      <c r="W71" s="17">
        <f t="shared" si="53"/>
        <v>59.774202127659578</v>
      </c>
      <c r="X71" s="15">
        <f t="shared" si="54"/>
        <v>0.4</v>
      </c>
      <c r="Y71" s="16">
        <f t="shared" si="55"/>
        <v>0.6</v>
      </c>
      <c r="Z71" s="16">
        <f t="shared" si="56"/>
        <v>20.425531914893618</v>
      </c>
      <c r="AA71" s="17">
        <f t="shared" si="57"/>
        <v>60.212765957446805</v>
      </c>
      <c r="AC71">
        <v>10</v>
      </c>
      <c r="AD71">
        <f t="shared" si="71"/>
        <v>12.8</v>
      </c>
      <c r="AE71" s="15">
        <f t="shared" si="58"/>
        <v>0.4</v>
      </c>
      <c r="AF71" s="16">
        <f t="shared" si="59"/>
        <v>0.6</v>
      </c>
      <c r="AG71" s="16">
        <f t="shared" si="60"/>
        <v>16.340425531914896</v>
      </c>
      <c r="AH71" s="17">
        <f t="shared" si="61"/>
        <v>58.170212765957444</v>
      </c>
      <c r="AI71" s="15">
        <f t="shared" si="62"/>
        <v>0.26666666666666666</v>
      </c>
      <c r="AJ71" s="16">
        <f t="shared" si="63"/>
        <v>0.73333333333333339</v>
      </c>
      <c r="AK71" s="16">
        <f t="shared" si="64"/>
        <v>19.971631205673763</v>
      </c>
      <c r="AL71" s="17">
        <f t="shared" si="65"/>
        <v>59.98581560283688</v>
      </c>
      <c r="AM71" s="15">
        <f t="shared" si="66"/>
        <v>0.17777777777777778</v>
      </c>
      <c r="AN71" s="16">
        <f t="shared" si="67"/>
        <v>0.82222222222222219</v>
      </c>
      <c r="AO71" s="16">
        <f t="shared" si="68"/>
        <v>22.392434988179673</v>
      </c>
      <c r="AP71" s="17">
        <f t="shared" si="69"/>
        <v>61.196217494089836</v>
      </c>
    </row>
    <row r="72" spans="1:42">
      <c r="A72" s="211" t="s">
        <v>385</v>
      </c>
      <c r="B72" s="55"/>
      <c r="C72" s="42" t="s">
        <v>4</v>
      </c>
      <c r="N72">
        <v>11</v>
      </c>
      <c r="O72">
        <f t="shared" si="70"/>
        <v>40.799999999999997</v>
      </c>
      <c r="P72" s="15">
        <f t="shared" si="46"/>
        <v>0.29411764705882354</v>
      </c>
      <c r="Q72" s="16">
        <f t="shared" si="47"/>
        <v>0.70588235294117641</v>
      </c>
      <c r="R72" s="16">
        <f t="shared" si="48"/>
        <v>18.022528160200249</v>
      </c>
      <c r="S72" s="17">
        <f t="shared" si="49"/>
        <v>59.011264080100126</v>
      </c>
      <c r="T72" s="15">
        <f t="shared" si="50"/>
        <v>0.3504901960784314</v>
      </c>
      <c r="U72" s="16">
        <f t="shared" si="51"/>
        <v>0.64950980392156854</v>
      </c>
      <c r="V72" s="16">
        <f t="shared" si="52"/>
        <v>19.761681268251984</v>
      </c>
      <c r="W72" s="17">
        <f t="shared" si="53"/>
        <v>59.880840634125988</v>
      </c>
      <c r="X72" s="15">
        <f t="shared" si="54"/>
        <v>0.39215686274509809</v>
      </c>
      <c r="Y72" s="16">
        <f t="shared" si="55"/>
        <v>0.60784313725490191</v>
      </c>
      <c r="Z72" s="16">
        <f t="shared" si="56"/>
        <v>20.692532332081768</v>
      </c>
      <c r="AA72" s="17">
        <f t="shared" si="57"/>
        <v>60.346266166040884</v>
      </c>
      <c r="AC72">
        <v>11</v>
      </c>
      <c r="AD72">
        <f t="shared" si="71"/>
        <v>12.88</v>
      </c>
      <c r="AE72" s="15">
        <f t="shared" si="58"/>
        <v>0.40250000000000002</v>
      </c>
      <c r="AF72" s="16">
        <f t="shared" si="59"/>
        <v>0.59749999999999992</v>
      </c>
      <c r="AG72" s="16">
        <f t="shared" si="60"/>
        <v>16.37404255319149</v>
      </c>
      <c r="AH72" s="17">
        <f t="shared" si="61"/>
        <v>58.187021276595743</v>
      </c>
      <c r="AI72" s="15">
        <f t="shared" si="62"/>
        <v>0.26833333333333337</v>
      </c>
      <c r="AJ72" s="16">
        <f t="shared" si="63"/>
        <v>0.73166666666666669</v>
      </c>
      <c r="AK72" s="16">
        <f t="shared" si="64"/>
        <v>20.050780141843973</v>
      </c>
      <c r="AL72" s="17">
        <f t="shared" si="65"/>
        <v>60.025390070921986</v>
      </c>
      <c r="AM72" s="15">
        <f t="shared" si="66"/>
        <v>0.1788888888888889</v>
      </c>
      <c r="AN72" s="16">
        <f t="shared" si="67"/>
        <v>0.82111111111111112</v>
      </c>
      <c r="AO72" s="16">
        <f t="shared" si="68"/>
        <v>22.501938534278963</v>
      </c>
      <c r="AP72" s="17">
        <f t="shared" si="69"/>
        <v>61.250969267139482</v>
      </c>
    </row>
    <row r="73" spans="1:42">
      <c r="A73" s="211" t="s">
        <v>383</v>
      </c>
      <c r="B73" s="55">
        <f>(B70/2)+B25</f>
        <v>42.191341607565015</v>
      </c>
      <c r="C73" s="42" t="s">
        <v>4</v>
      </c>
      <c r="N73">
        <v>12</v>
      </c>
      <c r="O73">
        <f t="shared" si="70"/>
        <v>41.6</v>
      </c>
      <c r="P73" s="15">
        <f t="shared" si="46"/>
        <v>0.28846153846153844</v>
      </c>
      <c r="Q73" s="16">
        <f t="shared" si="47"/>
        <v>0.71153846153846156</v>
      </c>
      <c r="R73" s="16">
        <f t="shared" si="48"/>
        <v>18.166939443535188</v>
      </c>
      <c r="S73" s="17">
        <f t="shared" si="49"/>
        <v>59.083469721767592</v>
      </c>
      <c r="T73" s="15">
        <f t="shared" si="50"/>
        <v>0.34375</v>
      </c>
      <c r="U73" s="16">
        <f t="shared" si="51"/>
        <v>0.65625</v>
      </c>
      <c r="V73" s="16">
        <f t="shared" si="52"/>
        <v>19.966755319148938</v>
      </c>
      <c r="W73" s="17">
        <f t="shared" si="53"/>
        <v>59.983377659574472</v>
      </c>
      <c r="X73" s="15">
        <f t="shared" si="54"/>
        <v>0.38461538461538458</v>
      </c>
      <c r="Y73" s="16">
        <f t="shared" si="55"/>
        <v>0.61538461538461542</v>
      </c>
      <c r="Z73" s="16">
        <f t="shared" si="56"/>
        <v>20.949263502454993</v>
      </c>
      <c r="AA73" s="17">
        <f t="shared" si="57"/>
        <v>60.474631751227498</v>
      </c>
      <c r="AC73">
        <v>12</v>
      </c>
      <c r="AD73">
        <f t="shared" si="71"/>
        <v>12.96</v>
      </c>
      <c r="AE73" s="15">
        <f t="shared" si="58"/>
        <v>0.40500000000000003</v>
      </c>
      <c r="AF73" s="16">
        <f t="shared" si="59"/>
        <v>0.59499999999999997</v>
      </c>
      <c r="AG73" s="16">
        <f t="shared" si="60"/>
        <v>16.406808510638299</v>
      </c>
      <c r="AH73" s="17">
        <f t="shared" si="61"/>
        <v>58.20340425531915</v>
      </c>
      <c r="AI73" s="15">
        <f t="shared" si="62"/>
        <v>0.27</v>
      </c>
      <c r="AJ73" s="16">
        <f t="shared" si="63"/>
        <v>0.73</v>
      </c>
      <c r="AK73" s="16">
        <f t="shared" si="64"/>
        <v>20.12936170212766</v>
      </c>
      <c r="AL73" s="17">
        <f t="shared" si="65"/>
        <v>60.064680851063827</v>
      </c>
      <c r="AM73" s="15">
        <f t="shared" si="66"/>
        <v>0.18000000000000002</v>
      </c>
      <c r="AN73" s="16">
        <f t="shared" si="67"/>
        <v>0.82</v>
      </c>
      <c r="AO73" s="16">
        <f t="shared" si="68"/>
        <v>22.611063829787238</v>
      </c>
      <c r="AP73" s="17">
        <f t="shared" si="69"/>
        <v>61.305531914893621</v>
      </c>
    </row>
    <row r="74" spans="1:42">
      <c r="A74" s="211" t="s">
        <v>382</v>
      </c>
      <c r="B74" s="55"/>
      <c r="C74" s="42" t="s">
        <v>4</v>
      </c>
      <c r="N74">
        <v>13</v>
      </c>
      <c r="O74">
        <f t="shared" si="70"/>
        <v>42.4</v>
      </c>
      <c r="P74" s="15">
        <f t="shared" si="46"/>
        <v>0.28301886792452829</v>
      </c>
      <c r="Q74" s="16">
        <f t="shared" si="47"/>
        <v>0.71698113207547176</v>
      </c>
      <c r="R74" s="16">
        <f t="shared" si="48"/>
        <v>18.305901244480129</v>
      </c>
      <c r="S74" s="17">
        <f t="shared" si="49"/>
        <v>59.152950622240063</v>
      </c>
      <c r="T74" s="15">
        <f t="shared" si="50"/>
        <v>0.33726415094339623</v>
      </c>
      <c r="U74" s="16">
        <f t="shared" si="51"/>
        <v>0.66273584905660377</v>
      </c>
      <c r="V74" s="16">
        <f t="shared" si="52"/>
        <v>20.164090726615818</v>
      </c>
      <c r="W74" s="17">
        <f t="shared" si="53"/>
        <v>60.082045363307913</v>
      </c>
      <c r="X74" s="15">
        <f t="shared" si="54"/>
        <v>0.37735849056603776</v>
      </c>
      <c r="Y74" s="16">
        <f t="shared" si="55"/>
        <v>0.62264150943396224</v>
      </c>
      <c r="Z74" s="16">
        <f t="shared" si="56"/>
        <v>21.196306704134887</v>
      </c>
      <c r="AA74" s="17">
        <f t="shared" si="57"/>
        <v>60.598153352067442</v>
      </c>
      <c r="AC74">
        <v>13</v>
      </c>
      <c r="AD74">
        <f t="shared" si="71"/>
        <v>13.04</v>
      </c>
      <c r="AE74" s="15">
        <f t="shared" si="58"/>
        <v>0.40749999999999997</v>
      </c>
      <c r="AF74" s="16">
        <f t="shared" si="59"/>
        <v>0.59250000000000003</v>
      </c>
      <c r="AG74" s="16">
        <f t="shared" si="60"/>
        <v>16.43872340425532</v>
      </c>
      <c r="AH74" s="17">
        <f t="shared" si="61"/>
        <v>58.219361702127657</v>
      </c>
      <c r="AI74" s="15">
        <f t="shared" si="62"/>
        <v>0.27166666666666667</v>
      </c>
      <c r="AJ74" s="16">
        <f t="shared" si="63"/>
        <v>0.72833333333333328</v>
      </c>
      <c r="AK74" s="16">
        <f t="shared" si="64"/>
        <v>20.207375886524822</v>
      </c>
      <c r="AL74" s="17">
        <f t="shared" si="65"/>
        <v>60.103687943262415</v>
      </c>
      <c r="AM74" s="15">
        <f t="shared" si="66"/>
        <v>0.18111111111111111</v>
      </c>
      <c r="AN74" s="16">
        <f t="shared" si="67"/>
        <v>0.81888888888888889</v>
      </c>
      <c r="AO74" s="16">
        <f t="shared" si="68"/>
        <v>22.719810874704493</v>
      </c>
      <c r="AP74" s="17">
        <f t="shared" si="69"/>
        <v>61.359905437352246</v>
      </c>
    </row>
    <row r="75" spans="1:42">
      <c r="A75" s="73" t="s">
        <v>172</v>
      </c>
      <c r="B75" s="56">
        <f>MAX(B73,B74)</f>
        <v>42.191341607565015</v>
      </c>
      <c r="C75" s="42" t="s">
        <v>4</v>
      </c>
      <c r="E75" s="36" t="s">
        <v>171</v>
      </c>
      <c r="N75">
        <v>14</v>
      </c>
      <c r="O75">
        <f t="shared" si="70"/>
        <v>43.2</v>
      </c>
      <c r="P75" s="15">
        <f t="shared" si="46"/>
        <v>0.27777777777777773</v>
      </c>
      <c r="Q75" s="16">
        <f t="shared" si="47"/>
        <v>0.72222222222222232</v>
      </c>
      <c r="R75" s="16">
        <f t="shared" si="48"/>
        <v>18.439716312056738</v>
      </c>
      <c r="S75" s="17">
        <f t="shared" si="49"/>
        <v>59.219858156028366</v>
      </c>
      <c r="T75" s="15">
        <f t="shared" si="50"/>
        <v>0.33101851851851849</v>
      </c>
      <c r="U75" s="16">
        <f t="shared" si="51"/>
        <v>0.66898148148148151</v>
      </c>
      <c r="V75" s="16">
        <f t="shared" si="52"/>
        <v>20.354117415287629</v>
      </c>
      <c r="W75" s="17">
        <f t="shared" si="53"/>
        <v>60.177058707643816</v>
      </c>
      <c r="X75" s="15">
        <f t="shared" si="54"/>
        <v>0.37037037037037035</v>
      </c>
      <c r="Y75" s="16">
        <f t="shared" si="55"/>
        <v>0.62962962962962965</v>
      </c>
      <c r="Z75" s="16">
        <f t="shared" si="56"/>
        <v>21.434200157604415</v>
      </c>
      <c r="AA75" s="17">
        <f t="shared" si="57"/>
        <v>60.717100078802204</v>
      </c>
      <c r="AC75">
        <v>14</v>
      </c>
      <c r="AD75">
        <f t="shared" si="71"/>
        <v>13.120000000000001</v>
      </c>
      <c r="AE75" s="15">
        <f t="shared" si="58"/>
        <v>0.41000000000000003</v>
      </c>
      <c r="AF75" s="16">
        <f t="shared" si="59"/>
        <v>0.59</v>
      </c>
      <c r="AG75" s="16">
        <f t="shared" si="60"/>
        <v>16.469787234042556</v>
      </c>
      <c r="AH75" s="17">
        <f t="shared" si="61"/>
        <v>58.234893617021278</v>
      </c>
      <c r="AI75" s="15">
        <f t="shared" si="62"/>
        <v>0.27333333333333337</v>
      </c>
      <c r="AJ75" s="16">
        <f t="shared" si="63"/>
        <v>0.72666666666666657</v>
      </c>
      <c r="AK75" s="16">
        <f t="shared" si="64"/>
        <v>20.284822695035462</v>
      </c>
      <c r="AL75" s="17">
        <f t="shared" si="65"/>
        <v>60.142411347517729</v>
      </c>
      <c r="AM75" s="15">
        <f t="shared" si="66"/>
        <v>0.18222222222222223</v>
      </c>
      <c r="AN75" s="16">
        <f t="shared" si="67"/>
        <v>0.81777777777777771</v>
      </c>
      <c r="AO75" s="16">
        <f t="shared" si="68"/>
        <v>22.828179669030735</v>
      </c>
      <c r="AP75" s="17">
        <f t="shared" si="69"/>
        <v>61.414089834515366</v>
      </c>
    </row>
    <row r="76" spans="1:42">
      <c r="A76" s="212" t="s">
        <v>242</v>
      </c>
      <c r="B76" s="213">
        <f>Design_Converter!B45</f>
        <v>5</v>
      </c>
      <c r="C76" s="214" t="s">
        <v>26</v>
      </c>
      <c r="N76">
        <v>15</v>
      </c>
      <c r="O76">
        <f t="shared" si="70"/>
        <v>44</v>
      </c>
      <c r="P76" s="15">
        <f t="shared" si="46"/>
        <v>0.27272727272727271</v>
      </c>
      <c r="Q76" s="16">
        <f t="shared" si="47"/>
        <v>0.72727272727272729</v>
      </c>
      <c r="R76" s="16">
        <f t="shared" si="48"/>
        <v>18.568665377176014</v>
      </c>
      <c r="S76" s="17">
        <f t="shared" si="49"/>
        <v>59.284332688588009</v>
      </c>
      <c r="T76" s="15">
        <f t="shared" si="50"/>
        <v>0.32500000000000001</v>
      </c>
      <c r="U76" s="16">
        <f t="shared" si="51"/>
        <v>0.67500000000000004</v>
      </c>
      <c r="V76" s="16">
        <f t="shared" si="52"/>
        <v>20.537234042553191</v>
      </c>
      <c r="W76" s="17">
        <f t="shared" si="53"/>
        <v>60.268617021276597</v>
      </c>
      <c r="X76" s="15">
        <f t="shared" si="54"/>
        <v>0.36363636363636365</v>
      </c>
      <c r="Y76" s="16">
        <f t="shared" si="55"/>
        <v>0.63636363636363635</v>
      </c>
      <c r="Z76" s="16">
        <f t="shared" si="56"/>
        <v>21.663442940038685</v>
      </c>
      <c r="AA76" s="17">
        <f t="shared" si="57"/>
        <v>60.831721470019346</v>
      </c>
      <c r="AC76">
        <v>15</v>
      </c>
      <c r="AD76">
        <f t="shared" si="71"/>
        <v>13.2</v>
      </c>
      <c r="AE76" s="15">
        <f t="shared" si="58"/>
        <v>0.41249999999999998</v>
      </c>
      <c r="AF76" s="16">
        <f t="shared" si="59"/>
        <v>0.58750000000000002</v>
      </c>
      <c r="AG76" s="16">
        <f t="shared" si="60"/>
        <v>16.5</v>
      </c>
      <c r="AH76" s="17">
        <f t="shared" si="61"/>
        <v>58.25</v>
      </c>
      <c r="AI76" s="15">
        <f t="shared" si="62"/>
        <v>0.27499999999999997</v>
      </c>
      <c r="AJ76" s="16">
        <f t="shared" si="63"/>
        <v>0.72500000000000009</v>
      </c>
      <c r="AK76" s="16">
        <f t="shared" si="64"/>
        <v>20.361702127659573</v>
      </c>
      <c r="AL76" s="17">
        <f t="shared" si="65"/>
        <v>60.180851063829785</v>
      </c>
      <c r="AM76" s="15">
        <f t="shared" si="66"/>
        <v>0.18333333333333332</v>
      </c>
      <c r="AN76" s="16">
        <f t="shared" si="67"/>
        <v>0.81666666666666665</v>
      </c>
      <c r="AO76" s="16">
        <f t="shared" si="68"/>
        <v>22.936170212765958</v>
      </c>
      <c r="AP76" s="17">
        <f t="shared" si="69"/>
        <v>61.468085106382979</v>
      </c>
    </row>
    <row r="77" spans="1:42">
      <c r="A77" s="73" t="s">
        <v>391</v>
      </c>
      <c r="B77" s="52">
        <f>I_Channel_Peak_No_Ilimit*(1+(B76/100))</f>
        <v>44.30090868794327</v>
      </c>
      <c r="C77" s="42" t="s">
        <v>4</v>
      </c>
      <c r="E77" s="36" t="s">
        <v>392</v>
      </c>
      <c r="N77">
        <v>16</v>
      </c>
      <c r="O77">
        <f t="shared" si="70"/>
        <v>44.8</v>
      </c>
      <c r="P77" s="15">
        <f t="shared" si="46"/>
        <v>0.26785714285714285</v>
      </c>
      <c r="Q77" s="16">
        <f t="shared" si="47"/>
        <v>0.73214285714285721</v>
      </c>
      <c r="R77" s="16">
        <f t="shared" si="48"/>
        <v>18.693009118541035</v>
      </c>
      <c r="S77" s="17">
        <f t="shared" si="49"/>
        <v>59.346504559270514</v>
      </c>
      <c r="T77" s="15">
        <f t="shared" si="50"/>
        <v>0.3191964285714286</v>
      </c>
      <c r="U77" s="16">
        <f t="shared" si="51"/>
        <v>0.6808035714285714</v>
      </c>
      <c r="V77" s="16">
        <f t="shared" si="52"/>
        <v>20.713810790273556</v>
      </c>
      <c r="W77" s="17">
        <f t="shared" si="53"/>
        <v>60.356905395136778</v>
      </c>
      <c r="X77" s="15">
        <f t="shared" si="54"/>
        <v>0.35714285714285715</v>
      </c>
      <c r="Y77" s="16">
        <f t="shared" si="55"/>
        <v>0.64285714285714279</v>
      </c>
      <c r="Z77" s="16">
        <f t="shared" si="56"/>
        <v>21.88449848024316</v>
      </c>
      <c r="AA77" s="17">
        <f t="shared" si="57"/>
        <v>60.942249240121583</v>
      </c>
      <c r="AC77">
        <v>16</v>
      </c>
      <c r="AD77">
        <f t="shared" si="71"/>
        <v>13.28</v>
      </c>
      <c r="AE77" s="15">
        <f t="shared" si="58"/>
        <v>0.41499999999999998</v>
      </c>
      <c r="AF77" s="16">
        <f t="shared" si="59"/>
        <v>0.58499999999999996</v>
      </c>
      <c r="AG77" s="16">
        <f t="shared" si="60"/>
        <v>16.529361702127659</v>
      </c>
      <c r="AH77" s="17">
        <f t="shared" si="61"/>
        <v>58.264680851063829</v>
      </c>
      <c r="AI77" s="15">
        <f t="shared" si="62"/>
        <v>0.27666666666666667</v>
      </c>
      <c r="AJ77" s="16">
        <f t="shared" si="63"/>
        <v>0.72333333333333338</v>
      </c>
      <c r="AK77" s="16">
        <f t="shared" si="64"/>
        <v>20.438014184397165</v>
      </c>
      <c r="AL77" s="17">
        <f t="shared" si="65"/>
        <v>60.219007092198581</v>
      </c>
      <c r="AM77" s="15">
        <f t="shared" si="66"/>
        <v>0.18444444444444444</v>
      </c>
      <c r="AN77" s="16">
        <f t="shared" si="67"/>
        <v>0.81555555555555559</v>
      </c>
      <c r="AO77" s="16">
        <f t="shared" si="68"/>
        <v>23.043782505910166</v>
      </c>
      <c r="AP77" s="17">
        <f t="shared" si="69"/>
        <v>61.521891252955086</v>
      </c>
    </row>
    <row r="78" spans="1:42">
      <c r="A78" s="73" t="s">
        <v>173</v>
      </c>
      <c r="B78" s="213">
        <f>Design_Converter!B47</f>
        <v>44</v>
      </c>
      <c r="C78" s="42" t="s">
        <v>4</v>
      </c>
      <c r="E78" s="36" t="s">
        <v>393</v>
      </c>
      <c r="N78">
        <v>17</v>
      </c>
      <c r="O78">
        <f t="shared" si="70"/>
        <v>45.6</v>
      </c>
      <c r="P78" s="15">
        <f t="shared" si="46"/>
        <v>0.26315789473684209</v>
      </c>
      <c r="Q78" s="16">
        <f t="shared" si="47"/>
        <v>0.73684210526315796</v>
      </c>
      <c r="R78" s="16">
        <f t="shared" si="48"/>
        <v>18.812989921612541</v>
      </c>
      <c r="S78" s="17">
        <f t="shared" si="49"/>
        <v>59.40649496080627</v>
      </c>
      <c r="T78" s="15">
        <f t="shared" si="50"/>
        <v>0.31359649122807021</v>
      </c>
      <c r="U78" s="16">
        <f t="shared" si="51"/>
        <v>0.68640350877192979</v>
      </c>
      <c r="V78" s="16">
        <f t="shared" si="52"/>
        <v>20.884191862635316</v>
      </c>
      <c r="W78" s="17">
        <f t="shared" si="53"/>
        <v>60.44209593131766</v>
      </c>
      <c r="X78" s="15">
        <f t="shared" si="54"/>
        <v>0.35087719298245612</v>
      </c>
      <c r="Y78" s="16">
        <f t="shared" si="55"/>
        <v>0.64912280701754388</v>
      </c>
      <c r="Z78" s="16">
        <f t="shared" si="56"/>
        <v>22.097797685703622</v>
      </c>
      <c r="AA78" s="17">
        <f t="shared" si="57"/>
        <v>61.048898842851813</v>
      </c>
      <c r="AC78">
        <v>17</v>
      </c>
      <c r="AD78">
        <f t="shared" si="71"/>
        <v>13.36</v>
      </c>
      <c r="AE78" s="15">
        <f t="shared" si="58"/>
        <v>0.41749999999999998</v>
      </c>
      <c r="AF78" s="16">
        <f t="shared" si="59"/>
        <v>0.58250000000000002</v>
      </c>
      <c r="AG78" s="16">
        <f t="shared" si="60"/>
        <v>16.557872340425533</v>
      </c>
      <c r="AH78" s="17">
        <f t="shared" si="61"/>
        <v>58.278936170212766</v>
      </c>
      <c r="AI78" s="15">
        <f t="shared" si="62"/>
        <v>0.27833333333333332</v>
      </c>
      <c r="AJ78" s="16">
        <f t="shared" si="63"/>
        <v>0.72166666666666668</v>
      </c>
      <c r="AK78" s="16">
        <f t="shared" si="64"/>
        <v>20.513758865248228</v>
      </c>
      <c r="AL78" s="17">
        <f t="shared" si="65"/>
        <v>60.256879432624117</v>
      </c>
      <c r="AM78" s="15">
        <f t="shared" si="66"/>
        <v>0.18555555555555556</v>
      </c>
      <c r="AN78" s="16">
        <f t="shared" si="67"/>
        <v>0.81444444444444442</v>
      </c>
      <c r="AO78" s="16">
        <f t="shared" si="68"/>
        <v>23.151016548463357</v>
      </c>
      <c r="AP78" s="17">
        <f t="shared" si="69"/>
        <v>61.57550827423168</v>
      </c>
    </row>
    <row r="79" spans="1:42">
      <c r="A79" s="73" t="s">
        <v>449</v>
      </c>
      <c r="B79" s="52">
        <f>20*B31/1000*B78</f>
        <v>0.88</v>
      </c>
      <c r="C79" s="42" t="s">
        <v>1</v>
      </c>
      <c r="N79">
        <v>18</v>
      </c>
      <c r="O79">
        <f t="shared" si="70"/>
        <v>46.4</v>
      </c>
      <c r="P79" s="15">
        <f t="shared" si="46"/>
        <v>0.25862068965517243</v>
      </c>
      <c r="Q79" s="16">
        <f t="shared" si="47"/>
        <v>0.74137931034482762</v>
      </c>
      <c r="R79" s="16">
        <f t="shared" si="48"/>
        <v>18.928833455612622</v>
      </c>
      <c r="S79" s="17">
        <f t="shared" si="49"/>
        <v>59.464416727806309</v>
      </c>
      <c r="T79" s="15">
        <f t="shared" si="50"/>
        <v>0.30818965517241381</v>
      </c>
      <c r="U79" s="16">
        <f t="shared" si="51"/>
        <v>0.69181034482758619</v>
      </c>
      <c r="V79" s="16">
        <f t="shared" si="52"/>
        <v>21.04869772560528</v>
      </c>
      <c r="W79" s="17">
        <f t="shared" si="53"/>
        <v>60.52434886280264</v>
      </c>
      <c r="X79" s="15">
        <f t="shared" si="54"/>
        <v>0.34482758620689657</v>
      </c>
      <c r="Y79" s="16">
        <f t="shared" si="55"/>
        <v>0.65517241379310343</v>
      </c>
      <c r="Z79" s="16">
        <f t="shared" si="56"/>
        <v>22.303741746148205</v>
      </c>
      <c r="AA79" s="17">
        <f t="shared" si="57"/>
        <v>61.151870873074103</v>
      </c>
      <c r="AC79">
        <v>18</v>
      </c>
      <c r="AD79">
        <f t="shared" si="71"/>
        <v>13.44</v>
      </c>
      <c r="AE79" s="15">
        <f t="shared" si="58"/>
        <v>0.42</v>
      </c>
      <c r="AF79" s="16">
        <f t="shared" si="59"/>
        <v>0.58000000000000007</v>
      </c>
      <c r="AG79" s="16">
        <f t="shared" si="60"/>
        <v>16.585531914893622</v>
      </c>
      <c r="AH79" s="17">
        <f t="shared" si="61"/>
        <v>58.292765957446811</v>
      </c>
      <c r="AI79" s="15">
        <f t="shared" si="62"/>
        <v>0.27999999999999997</v>
      </c>
      <c r="AJ79" s="16">
        <f t="shared" si="63"/>
        <v>0.72</v>
      </c>
      <c r="AK79" s="16">
        <f t="shared" si="64"/>
        <v>20.588936170212765</v>
      </c>
      <c r="AL79" s="17">
        <f t="shared" si="65"/>
        <v>60.294468085106381</v>
      </c>
      <c r="AM79" s="15">
        <f t="shared" si="66"/>
        <v>0.18666666666666665</v>
      </c>
      <c r="AN79" s="16">
        <f t="shared" si="67"/>
        <v>0.81333333333333335</v>
      </c>
      <c r="AO79" s="16">
        <f t="shared" si="68"/>
        <v>23.257872340425532</v>
      </c>
      <c r="AP79" s="17">
        <f t="shared" si="69"/>
        <v>61.628936170212768</v>
      </c>
    </row>
    <row r="80" spans="1:42">
      <c r="A80" s="6" t="s">
        <v>450</v>
      </c>
      <c r="B80" s="47">
        <v>3.5</v>
      </c>
      <c r="C80" s="7" t="s">
        <v>1</v>
      </c>
      <c r="D80"/>
      <c r="E80"/>
      <c r="N80">
        <v>19</v>
      </c>
      <c r="O80">
        <f t="shared" si="70"/>
        <v>47.2</v>
      </c>
      <c r="P80" s="15">
        <f t="shared" si="46"/>
        <v>0.25423728813559321</v>
      </c>
      <c r="Q80" s="16">
        <f t="shared" si="47"/>
        <v>0.74576271186440679</v>
      </c>
      <c r="R80" s="16">
        <f t="shared" si="48"/>
        <v>19.040750090155068</v>
      </c>
      <c r="S80" s="17">
        <f t="shared" si="49"/>
        <v>59.520375045077536</v>
      </c>
      <c r="T80" s="15">
        <f t="shared" si="50"/>
        <v>0.30296610169491522</v>
      </c>
      <c r="U80" s="16">
        <f t="shared" si="51"/>
        <v>0.69703389830508478</v>
      </c>
      <c r="V80" s="16">
        <f t="shared" si="52"/>
        <v>21.207627118644069</v>
      </c>
      <c r="W80" s="17">
        <f t="shared" si="53"/>
        <v>60.603813559322035</v>
      </c>
      <c r="X80" s="15">
        <f t="shared" si="54"/>
        <v>0.33898305084745761</v>
      </c>
      <c r="Y80" s="16">
        <f t="shared" si="55"/>
        <v>0.66101694915254239</v>
      </c>
      <c r="Z80" s="16">
        <f t="shared" si="56"/>
        <v>22.502704652001448</v>
      </c>
      <c r="AA80" s="17">
        <f t="shared" si="57"/>
        <v>61.251352326000728</v>
      </c>
      <c r="AC80">
        <v>19</v>
      </c>
      <c r="AD80">
        <f t="shared" si="71"/>
        <v>13.52</v>
      </c>
      <c r="AE80" s="15">
        <f t="shared" si="58"/>
        <v>0.42249999999999999</v>
      </c>
      <c r="AF80" s="16">
        <f t="shared" si="59"/>
        <v>0.57750000000000001</v>
      </c>
      <c r="AG80" s="16">
        <f t="shared" si="60"/>
        <v>16.612340425531915</v>
      </c>
      <c r="AH80" s="17">
        <f t="shared" si="61"/>
        <v>58.306170212765956</v>
      </c>
      <c r="AI80" s="15">
        <f t="shared" si="62"/>
        <v>0.28166666666666668</v>
      </c>
      <c r="AJ80" s="16">
        <f t="shared" si="63"/>
        <v>0.71833333333333327</v>
      </c>
      <c r="AK80" s="16">
        <f t="shared" si="64"/>
        <v>20.663546099290784</v>
      </c>
      <c r="AL80" s="17">
        <f t="shared" si="65"/>
        <v>60.331773049645392</v>
      </c>
      <c r="AM80" s="15">
        <f t="shared" si="66"/>
        <v>0.18777777777777777</v>
      </c>
      <c r="AN80" s="16">
        <f t="shared" si="67"/>
        <v>0.81222222222222218</v>
      </c>
      <c r="AO80" s="16">
        <f t="shared" si="68"/>
        <v>23.364349881796691</v>
      </c>
      <c r="AP80" s="17">
        <f t="shared" si="69"/>
        <v>61.682174940898349</v>
      </c>
    </row>
    <row r="81" spans="1:42">
      <c r="A81" s="6" t="s">
        <v>451</v>
      </c>
      <c r="B81" s="55">
        <f>B79/0.1</f>
        <v>8.7999999999999989</v>
      </c>
      <c r="C81" s="215" t="s">
        <v>95</v>
      </c>
      <c r="N81">
        <v>20</v>
      </c>
      <c r="O81">
        <f t="shared" si="70"/>
        <v>48</v>
      </c>
      <c r="P81" s="15">
        <f t="shared" si="46"/>
        <v>0.25</v>
      </c>
      <c r="Q81" s="16">
        <f t="shared" si="47"/>
        <v>0.75</v>
      </c>
      <c r="R81" s="16">
        <f t="shared" si="48"/>
        <v>19.148936170212764</v>
      </c>
      <c r="S81" s="17">
        <f t="shared" si="49"/>
        <v>59.574468085106382</v>
      </c>
      <c r="T81" s="15">
        <f t="shared" si="50"/>
        <v>0.29791666666666666</v>
      </c>
      <c r="U81" s="16">
        <f t="shared" si="51"/>
        <v>0.70208333333333339</v>
      </c>
      <c r="V81" s="16">
        <f t="shared" si="52"/>
        <v>21.361258865248228</v>
      </c>
      <c r="W81" s="17">
        <f t="shared" si="53"/>
        <v>60.680629432624116</v>
      </c>
      <c r="X81" s="15">
        <f t="shared" si="54"/>
        <v>0.33333333333333331</v>
      </c>
      <c r="Y81" s="16">
        <f t="shared" si="55"/>
        <v>0.66666666666666674</v>
      </c>
      <c r="Z81" s="16">
        <f t="shared" si="56"/>
        <v>22.695035460992909</v>
      </c>
      <c r="AA81" s="17">
        <f t="shared" si="57"/>
        <v>61.347517730496456</v>
      </c>
      <c r="AC81">
        <v>20</v>
      </c>
      <c r="AD81">
        <f t="shared" si="71"/>
        <v>13.6</v>
      </c>
      <c r="AE81" s="15">
        <f t="shared" si="58"/>
        <v>0.42499999999999999</v>
      </c>
      <c r="AF81" s="16">
        <f t="shared" si="59"/>
        <v>0.57499999999999996</v>
      </c>
      <c r="AG81" s="16">
        <f t="shared" si="60"/>
        <v>16.638297872340424</v>
      </c>
      <c r="AH81" s="17">
        <f t="shared" si="61"/>
        <v>58.319148936170208</v>
      </c>
      <c r="AI81" s="15">
        <f t="shared" si="62"/>
        <v>0.28333333333333333</v>
      </c>
      <c r="AJ81" s="16">
        <f t="shared" si="63"/>
        <v>0.71666666666666667</v>
      </c>
      <c r="AK81" s="16">
        <f t="shared" si="64"/>
        <v>20.73758865248227</v>
      </c>
      <c r="AL81" s="17">
        <f t="shared" si="65"/>
        <v>60.368794326241137</v>
      </c>
      <c r="AM81" s="15">
        <f t="shared" si="66"/>
        <v>0.18888888888888888</v>
      </c>
      <c r="AN81" s="16">
        <f t="shared" si="67"/>
        <v>0.81111111111111112</v>
      </c>
      <c r="AO81" s="16">
        <f t="shared" si="68"/>
        <v>23.470449172576831</v>
      </c>
      <c r="AP81" s="17">
        <f t="shared" si="69"/>
        <v>61.735224586288417</v>
      </c>
    </row>
    <row r="82" spans="1:42">
      <c r="A82" s="6" t="s">
        <v>453</v>
      </c>
      <c r="B82" s="47">
        <f>Design_Converter!B50</f>
        <v>10</v>
      </c>
      <c r="C82" s="215" t="s">
        <v>95</v>
      </c>
      <c r="D82"/>
      <c r="N82">
        <v>21</v>
      </c>
      <c r="O82">
        <f t="shared" si="70"/>
        <v>48.8</v>
      </c>
      <c r="P82" s="15">
        <f t="shared" si="46"/>
        <v>0.24590163934426232</v>
      </c>
      <c r="Q82" s="16">
        <f t="shared" si="47"/>
        <v>0.75409836065573765</v>
      </c>
      <c r="R82" s="16">
        <f t="shared" si="48"/>
        <v>19.253575165678413</v>
      </c>
      <c r="S82" s="17">
        <f t="shared" si="49"/>
        <v>59.626787582839206</v>
      </c>
      <c r="T82" s="15">
        <f t="shared" si="50"/>
        <v>0.29303278688524592</v>
      </c>
      <c r="U82" s="16">
        <f t="shared" si="51"/>
        <v>0.70696721311475408</v>
      </c>
      <c r="V82" s="16">
        <f t="shared" si="52"/>
        <v>21.509853505406348</v>
      </c>
      <c r="W82" s="17">
        <f t="shared" si="53"/>
        <v>60.75492675270317</v>
      </c>
      <c r="X82" s="15">
        <f t="shared" si="54"/>
        <v>0.32786885245901642</v>
      </c>
      <c r="Y82" s="16">
        <f t="shared" si="55"/>
        <v>0.67213114754098358</v>
      </c>
      <c r="Z82" s="16">
        <f t="shared" si="56"/>
        <v>22.881060341820721</v>
      </c>
      <c r="AA82" s="17">
        <f t="shared" si="57"/>
        <v>61.440530170910364</v>
      </c>
      <c r="AC82">
        <v>21</v>
      </c>
      <c r="AD82">
        <f t="shared" si="71"/>
        <v>13.68</v>
      </c>
      <c r="AE82" s="15">
        <f t="shared" si="58"/>
        <v>0.42749999999999999</v>
      </c>
      <c r="AF82" s="16">
        <f t="shared" si="59"/>
        <v>0.57250000000000001</v>
      </c>
      <c r="AG82" s="16">
        <f t="shared" si="60"/>
        <v>16.663404255319151</v>
      </c>
      <c r="AH82" s="17">
        <f t="shared" si="61"/>
        <v>58.331702127659575</v>
      </c>
      <c r="AI82" s="15">
        <f t="shared" si="62"/>
        <v>0.28499999999999998</v>
      </c>
      <c r="AJ82" s="16">
        <f t="shared" si="63"/>
        <v>0.71500000000000008</v>
      </c>
      <c r="AK82" s="16">
        <f t="shared" si="64"/>
        <v>20.811063829787233</v>
      </c>
      <c r="AL82" s="17">
        <f t="shared" si="65"/>
        <v>60.405531914893615</v>
      </c>
      <c r="AM82" s="15">
        <f t="shared" si="66"/>
        <v>0.19</v>
      </c>
      <c r="AN82" s="16">
        <f t="shared" si="67"/>
        <v>0.81</v>
      </c>
      <c r="AO82" s="16">
        <f t="shared" si="68"/>
        <v>23.576170212765959</v>
      </c>
      <c r="AP82" s="17">
        <f t="shared" si="69"/>
        <v>61.788085106382979</v>
      </c>
    </row>
    <row r="83" spans="1:42">
      <c r="A83" s="6" t="s">
        <v>452</v>
      </c>
      <c r="B83" s="55">
        <f>(B80-B79)/B79*B82</f>
        <v>29.772727272727273</v>
      </c>
      <c r="C83" s="215" t="s">
        <v>95</v>
      </c>
      <c r="D83"/>
      <c r="N83">
        <v>22</v>
      </c>
      <c r="O83">
        <f t="shared" si="70"/>
        <v>49.6</v>
      </c>
      <c r="P83" s="15">
        <f t="shared" si="46"/>
        <v>0.24193548387096772</v>
      </c>
      <c r="Q83" s="16">
        <f t="shared" si="47"/>
        <v>0.75806451612903225</v>
      </c>
      <c r="R83" s="16">
        <f t="shared" si="48"/>
        <v>19.35483870967742</v>
      </c>
      <c r="S83" s="17">
        <f t="shared" si="49"/>
        <v>59.677419354838712</v>
      </c>
      <c r="T83" s="15">
        <f t="shared" si="50"/>
        <v>0.28830645161290325</v>
      </c>
      <c r="U83" s="16">
        <f t="shared" si="51"/>
        <v>0.71169354838709675</v>
      </c>
      <c r="V83" s="16">
        <f t="shared" si="52"/>
        <v>21.653654770075498</v>
      </c>
      <c r="W83" s="17">
        <f t="shared" si="53"/>
        <v>60.826827385037745</v>
      </c>
      <c r="X83" s="15">
        <f t="shared" si="54"/>
        <v>0.32258064516129031</v>
      </c>
      <c r="Y83" s="16">
        <f t="shared" si="55"/>
        <v>0.67741935483870974</v>
      </c>
      <c r="Z83" s="16">
        <f t="shared" si="56"/>
        <v>23.061084420041183</v>
      </c>
      <c r="AA83" s="17">
        <f t="shared" si="57"/>
        <v>61.530542210020592</v>
      </c>
      <c r="AC83">
        <v>22</v>
      </c>
      <c r="AD83">
        <f t="shared" si="71"/>
        <v>13.76</v>
      </c>
      <c r="AE83" s="15">
        <f t="shared" si="58"/>
        <v>0.43</v>
      </c>
      <c r="AF83" s="16">
        <f t="shared" si="59"/>
        <v>0.57000000000000006</v>
      </c>
      <c r="AG83" s="16">
        <f t="shared" si="60"/>
        <v>16.687659574468086</v>
      </c>
      <c r="AH83" s="17">
        <f t="shared" si="61"/>
        <v>58.343829787234043</v>
      </c>
      <c r="AI83" s="15">
        <f t="shared" si="62"/>
        <v>0.28666666666666668</v>
      </c>
      <c r="AJ83" s="16">
        <f t="shared" si="63"/>
        <v>0.71333333333333337</v>
      </c>
      <c r="AK83" s="16">
        <f t="shared" si="64"/>
        <v>20.883971631205679</v>
      </c>
      <c r="AL83" s="17">
        <f t="shared" si="65"/>
        <v>60.441985815602841</v>
      </c>
      <c r="AM83" s="15">
        <f t="shared" si="66"/>
        <v>0.19111111111111112</v>
      </c>
      <c r="AN83" s="16">
        <f t="shared" si="67"/>
        <v>0.80888888888888888</v>
      </c>
      <c r="AO83" s="16">
        <f t="shared" si="68"/>
        <v>23.681513002364071</v>
      </c>
      <c r="AP83" s="17">
        <f t="shared" si="69"/>
        <v>61.840756501182035</v>
      </c>
    </row>
    <row r="84" spans="1:42">
      <c r="A84" s="6" t="s">
        <v>454</v>
      </c>
      <c r="B84" s="47">
        <f>Design_Converter!B52</f>
        <v>30.1</v>
      </c>
      <c r="C84" s="215" t="s">
        <v>95</v>
      </c>
      <c r="D84"/>
      <c r="N84">
        <v>23</v>
      </c>
      <c r="O84">
        <f t="shared" si="70"/>
        <v>50.400000000000006</v>
      </c>
      <c r="P84" s="15">
        <f t="shared" si="46"/>
        <v>0.23809523809523808</v>
      </c>
      <c r="Q84" s="16">
        <f t="shared" si="47"/>
        <v>0.76190476190476186</v>
      </c>
      <c r="R84" s="16">
        <f t="shared" si="48"/>
        <v>19.452887537993924</v>
      </c>
      <c r="S84" s="17">
        <f t="shared" si="49"/>
        <v>59.726443768996958</v>
      </c>
      <c r="T84" s="15">
        <f t="shared" si="50"/>
        <v>0.28373015873015872</v>
      </c>
      <c r="U84" s="16">
        <f t="shared" si="51"/>
        <v>0.71626984126984128</v>
      </c>
      <c r="V84" s="16">
        <f t="shared" si="52"/>
        <v>21.792890915231347</v>
      </c>
      <c r="W84" s="17">
        <f t="shared" si="53"/>
        <v>60.89644545761567</v>
      </c>
      <c r="X84" s="15">
        <f t="shared" si="54"/>
        <v>0.31746031746031744</v>
      </c>
      <c r="Y84" s="16">
        <f t="shared" si="55"/>
        <v>0.68253968253968256</v>
      </c>
      <c r="Z84" s="16">
        <f t="shared" si="56"/>
        <v>23.23539344815941</v>
      </c>
      <c r="AA84" s="17">
        <f t="shared" si="57"/>
        <v>61.617696724079707</v>
      </c>
      <c r="AC84">
        <v>23</v>
      </c>
      <c r="AD84">
        <f t="shared" si="71"/>
        <v>13.84</v>
      </c>
      <c r="AE84" s="15">
        <f t="shared" si="58"/>
        <v>0.4325</v>
      </c>
      <c r="AF84" s="16">
        <f t="shared" si="59"/>
        <v>0.5675</v>
      </c>
      <c r="AG84" s="16">
        <f t="shared" si="60"/>
        <v>16.711063829787236</v>
      </c>
      <c r="AH84" s="17">
        <f t="shared" si="61"/>
        <v>58.355531914893618</v>
      </c>
      <c r="AI84" s="15">
        <f t="shared" si="62"/>
        <v>0.28833333333333333</v>
      </c>
      <c r="AJ84" s="16">
        <f t="shared" si="63"/>
        <v>0.71166666666666667</v>
      </c>
      <c r="AK84" s="16">
        <f t="shared" si="64"/>
        <v>20.956312056737588</v>
      </c>
      <c r="AL84" s="17">
        <f t="shared" si="65"/>
        <v>60.478156028368794</v>
      </c>
      <c r="AM84" s="15">
        <f t="shared" si="66"/>
        <v>0.19222222222222221</v>
      </c>
      <c r="AN84" s="16">
        <f t="shared" si="67"/>
        <v>0.80777777777777782</v>
      </c>
      <c r="AO84" s="16">
        <f t="shared" si="68"/>
        <v>23.786477541371156</v>
      </c>
      <c r="AP84" s="17">
        <f t="shared" si="69"/>
        <v>61.893238770685578</v>
      </c>
    </row>
    <row r="85" spans="1:42">
      <c r="A85" s="6" t="s">
        <v>455</v>
      </c>
      <c r="B85" s="55">
        <f>B80*B82/(B82+B84)</f>
        <v>0.87281795511221938</v>
      </c>
      <c r="C85" s="215" t="s">
        <v>1</v>
      </c>
      <c r="D85"/>
      <c r="E85" s="45"/>
      <c r="N85">
        <v>24</v>
      </c>
      <c r="O85">
        <f t="shared" si="70"/>
        <v>51.2</v>
      </c>
      <c r="P85" s="15">
        <f t="shared" si="46"/>
        <v>0.234375</v>
      </c>
      <c r="Q85" s="16">
        <f t="shared" si="47"/>
        <v>0.765625</v>
      </c>
      <c r="R85" s="16">
        <f t="shared" si="48"/>
        <v>19.547872340425535</v>
      </c>
      <c r="S85" s="17">
        <f t="shared" si="49"/>
        <v>59.773936170212764</v>
      </c>
      <c r="T85" s="15">
        <f t="shared" si="50"/>
        <v>0.279296875</v>
      </c>
      <c r="U85" s="16">
        <f t="shared" si="51"/>
        <v>0.720703125</v>
      </c>
      <c r="V85" s="16">
        <f t="shared" si="52"/>
        <v>21.927775930851066</v>
      </c>
      <c r="W85" s="17">
        <f t="shared" si="53"/>
        <v>60.963887965425535</v>
      </c>
      <c r="X85" s="15">
        <f t="shared" si="54"/>
        <v>0.3125</v>
      </c>
      <c r="Y85" s="16">
        <f t="shared" si="55"/>
        <v>0.6875</v>
      </c>
      <c r="Z85" s="16">
        <f t="shared" si="56"/>
        <v>23.404255319148938</v>
      </c>
      <c r="AA85" s="17">
        <f t="shared" si="57"/>
        <v>61.702127659574472</v>
      </c>
      <c r="AC85">
        <v>24</v>
      </c>
      <c r="AD85">
        <f t="shared" si="71"/>
        <v>13.92</v>
      </c>
      <c r="AE85" s="15">
        <f t="shared" si="58"/>
        <v>0.435</v>
      </c>
      <c r="AF85" s="16">
        <f t="shared" si="59"/>
        <v>0.56499999999999995</v>
      </c>
      <c r="AG85" s="16">
        <f t="shared" si="60"/>
        <v>16.733617021276594</v>
      </c>
      <c r="AH85" s="17">
        <f t="shared" si="61"/>
        <v>58.366808510638293</v>
      </c>
      <c r="AI85" s="15">
        <f t="shared" si="62"/>
        <v>0.28999999999999998</v>
      </c>
      <c r="AJ85" s="16">
        <f t="shared" si="63"/>
        <v>0.71</v>
      </c>
      <c r="AK85" s="16">
        <f t="shared" si="64"/>
        <v>21.028085106382978</v>
      </c>
      <c r="AL85" s="17">
        <f t="shared" si="65"/>
        <v>60.514042553191487</v>
      </c>
      <c r="AM85" s="15">
        <f t="shared" si="66"/>
        <v>0.19333333333333333</v>
      </c>
      <c r="AN85" s="16">
        <f t="shared" si="67"/>
        <v>0.80666666666666664</v>
      </c>
      <c r="AO85" s="16">
        <f t="shared" si="68"/>
        <v>23.891063829787235</v>
      </c>
      <c r="AP85" s="17">
        <f t="shared" si="69"/>
        <v>61.945531914893621</v>
      </c>
    </row>
    <row r="86" spans="1:42" ht="15.75" thickBot="1">
      <c r="A86" s="216" t="s">
        <v>456</v>
      </c>
      <c r="B86" s="217">
        <f>1000/20/B31*B85</f>
        <v>43.640897755610972</v>
      </c>
      <c r="C86" s="218" t="s">
        <v>4</v>
      </c>
      <c r="D86"/>
      <c r="N86">
        <v>25</v>
      </c>
      <c r="O86">
        <f t="shared" si="70"/>
        <v>52</v>
      </c>
      <c r="P86" s="15">
        <f t="shared" si="46"/>
        <v>0.23076923076923078</v>
      </c>
      <c r="Q86" s="16">
        <f t="shared" si="47"/>
        <v>0.76923076923076916</v>
      </c>
      <c r="R86" s="16">
        <f t="shared" si="48"/>
        <v>19.639934533551557</v>
      </c>
      <c r="S86" s="17">
        <f t="shared" si="49"/>
        <v>59.819967266775777</v>
      </c>
      <c r="T86" s="15">
        <f t="shared" si="50"/>
        <v>0.27500000000000002</v>
      </c>
      <c r="U86" s="16">
        <f t="shared" si="51"/>
        <v>0.72499999999999998</v>
      </c>
      <c r="V86" s="16">
        <f t="shared" si="52"/>
        <v>22.058510638297879</v>
      </c>
      <c r="W86" s="17">
        <f t="shared" si="53"/>
        <v>61.029255319148938</v>
      </c>
      <c r="X86" s="15">
        <f t="shared" si="54"/>
        <v>0.30769230769230771</v>
      </c>
      <c r="Y86" s="16">
        <f t="shared" si="55"/>
        <v>0.69230769230769229</v>
      </c>
      <c r="Z86" s="16">
        <f t="shared" si="56"/>
        <v>23.567921440261866</v>
      </c>
      <c r="AA86" s="17">
        <f t="shared" si="57"/>
        <v>61.783960720130935</v>
      </c>
      <c r="AC86">
        <v>25</v>
      </c>
      <c r="AD86">
        <f t="shared" si="71"/>
        <v>14</v>
      </c>
      <c r="AE86" s="15">
        <f t="shared" si="58"/>
        <v>0.4375</v>
      </c>
      <c r="AF86" s="16">
        <f t="shared" si="59"/>
        <v>0.5625</v>
      </c>
      <c r="AG86" s="16">
        <f t="shared" si="60"/>
        <v>16.755319148936174</v>
      </c>
      <c r="AH86" s="17">
        <f t="shared" si="61"/>
        <v>58.377659574468083</v>
      </c>
      <c r="AI86" s="15">
        <f t="shared" si="62"/>
        <v>0.29166666666666669</v>
      </c>
      <c r="AJ86" s="16">
        <f t="shared" si="63"/>
        <v>0.70833333333333326</v>
      </c>
      <c r="AK86" s="16">
        <f t="shared" si="64"/>
        <v>21.099290780141846</v>
      </c>
      <c r="AL86" s="17">
        <f t="shared" si="65"/>
        <v>60.549645390070921</v>
      </c>
      <c r="AM86" s="15">
        <f t="shared" si="66"/>
        <v>0.19444444444444445</v>
      </c>
      <c r="AN86" s="16">
        <f t="shared" si="67"/>
        <v>0.80555555555555558</v>
      </c>
      <c r="AO86" s="16">
        <f t="shared" si="68"/>
        <v>23.995271867612296</v>
      </c>
      <c r="AP86" s="17">
        <f t="shared" si="69"/>
        <v>61.997635933806151</v>
      </c>
    </row>
    <row r="87" spans="1:42" ht="15.75" thickBot="1">
      <c r="A87" s="220"/>
      <c r="B87" s="36"/>
      <c r="C87" s="202"/>
      <c r="D87"/>
      <c r="N87">
        <v>26</v>
      </c>
      <c r="O87">
        <f t="shared" si="70"/>
        <v>52.8</v>
      </c>
      <c r="P87" s="15">
        <f t="shared" si="46"/>
        <v>0.22727272727272729</v>
      </c>
      <c r="Q87" s="16">
        <f t="shared" si="47"/>
        <v>0.77272727272727271</v>
      </c>
      <c r="R87" s="16">
        <f t="shared" si="48"/>
        <v>19.729206963249517</v>
      </c>
      <c r="S87" s="17">
        <f t="shared" si="49"/>
        <v>59.864603481624755</v>
      </c>
      <c r="T87" s="15">
        <f t="shared" si="50"/>
        <v>0.27083333333333337</v>
      </c>
      <c r="U87" s="16">
        <f t="shared" si="51"/>
        <v>0.72916666666666663</v>
      </c>
      <c r="V87" s="16">
        <f t="shared" si="52"/>
        <v>22.185283687943269</v>
      </c>
      <c r="W87" s="17">
        <f t="shared" si="53"/>
        <v>61.092641843971634</v>
      </c>
      <c r="X87" s="15">
        <f t="shared" si="54"/>
        <v>0.30303030303030304</v>
      </c>
      <c r="Y87" s="16">
        <f t="shared" si="55"/>
        <v>0.69696969696969702</v>
      </c>
      <c r="Z87" s="16">
        <f t="shared" si="56"/>
        <v>23.726627981947132</v>
      </c>
      <c r="AA87" s="17">
        <f t="shared" si="57"/>
        <v>61.863313990973566</v>
      </c>
      <c r="AC87">
        <v>26</v>
      </c>
      <c r="AD87">
        <f t="shared" si="71"/>
        <v>14.08</v>
      </c>
      <c r="AE87" s="15">
        <f t="shared" si="58"/>
        <v>0.44</v>
      </c>
      <c r="AF87" s="16">
        <f t="shared" si="59"/>
        <v>0.56000000000000005</v>
      </c>
      <c r="AG87" s="16">
        <f t="shared" si="60"/>
        <v>16.776170212765958</v>
      </c>
      <c r="AH87" s="17">
        <f t="shared" si="61"/>
        <v>58.388085106382981</v>
      </c>
      <c r="AI87" s="15">
        <f t="shared" si="62"/>
        <v>0.29333333333333333</v>
      </c>
      <c r="AJ87" s="16">
        <f t="shared" si="63"/>
        <v>0.70666666666666667</v>
      </c>
      <c r="AK87" s="16">
        <f t="shared" si="64"/>
        <v>21.169929078014185</v>
      </c>
      <c r="AL87" s="17">
        <f t="shared" si="65"/>
        <v>60.584964539007089</v>
      </c>
      <c r="AM87" s="15">
        <f t="shared" si="66"/>
        <v>0.19555555555555557</v>
      </c>
      <c r="AN87" s="16">
        <f t="shared" si="67"/>
        <v>0.80444444444444441</v>
      </c>
      <c r="AO87" s="16">
        <f t="shared" si="68"/>
        <v>24.09910165484634</v>
      </c>
      <c r="AP87" s="17">
        <f t="shared" si="69"/>
        <v>62.049550827423168</v>
      </c>
    </row>
    <row r="88" spans="1:42" ht="15.75" thickBot="1">
      <c r="A88" s="219" t="s">
        <v>474</v>
      </c>
      <c r="B88" s="222">
        <f>IF(Design_Converter!B67=Lists!K2,0,1)</f>
        <v>0</v>
      </c>
      <c r="C88" s="221"/>
      <c r="D88"/>
      <c r="E88" s="36" t="s">
        <v>475</v>
      </c>
      <c r="N88">
        <v>27</v>
      </c>
      <c r="O88">
        <f t="shared" si="70"/>
        <v>53.6</v>
      </c>
      <c r="P88" s="15">
        <f t="shared" si="46"/>
        <v>0.22388059701492538</v>
      </c>
      <c r="Q88" s="16">
        <f t="shared" si="47"/>
        <v>0.77611940298507465</v>
      </c>
      <c r="R88" s="16">
        <f t="shared" si="48"/>
        <v>19.81581454429978</v>
      </c>
      <c r="S88" s="17">
        <f t="shared" si="49"/>
        <v>59.907907272149892</v>
      </c>
      <c r="T88" s="15">
        <f t="shared" si="50"/>
        <v>0.26679104477611942</v>
      </c>
      <c r="U88" s="16">
        <f t="shared" si="51"/>
        <v>0.73320895522388052</v>
      </c>
      <c r="V88" s="16">
        <f t="shared" si="52"/>
        <v>22.308272467449989</v>
      </c>
      <c r="W88" s="17">
        <f t="shared" si="53"/>
        <v>61.154136233724998</v>
      </c>
      <c r="X88" s="15">
        <f t="shared" si="54"/>
        <v>0.29850746268656714</v>
      </c>
      <c r="Y88" s="16">
        <f t="shared" si="55"/>
        <v>0.70149253731343286</v>
      </c>
      <c r="Z88" s="16">
        <f t="shared" si="56"/>
        <v>23.880597014925375</v>
      </c>
      <c r="AA88" s="17">
        <f t="shared" si="57"/>
        <v>61.940298507462686</v>
      </c>
      <c r="AC88">
        <v>27</v>
      </c>
      <c r="AD88">
        <f t="shared" si="71"/>
        <v>14.16</v>
      </c>
      <c r="AE88" s="15">
        <f t="shared" si="58"/>
        <v>0.4425</v>
      </c>
      <c r="AF88" s="16">
        <f t="shared" si="59"/>
        <v>0.5575</v>
      </c>
      <c r="AG88" s="16">
        <f t="shared" si="60"/>
        <v>16.796170212765958</v>
      </c>
      <c r="AH88" s="17">
        <f t="shared" si="61"/>
        <v>58.398085106382979</v>
      </c>
      <c r="AI88" s="15">
        <f t="shared" si="62"/>
        <v>0.29499999999999998</v>
      </c>
      <c r="AJ88" s="16">
        <f t="shared" si="63"/>
        <v>0.70500000000000007</v>
      </c>
      <c r="AK88" s="16">
        <f t="shared" si="64"/>
        <v>21.240000000000002</v>
      </c>
      <c r="AL88" s="17">
        <f t="shared" si="65"/>
        <v>60.620000000000005</v>
      </c>
      <c r="AM88" s="15">
        <f t="shared" si="66"/>
        <v>0.19666666666666666</v>
      </c>
      <c r="AN88" s="16">
        <f t="shared" si="67"/>
        <v>0.80333333333333334</v>
      </c>
      <c r="AO88" s="16">
        <f t="shared" si="68"/>
        <v>24.202553191489361</v>
      </c>
      <c r="AP88" s="17">
        <f t="shared" si="69"/>
        <v>62.101276595744679</v>
      </c>
    </row>
    <row r="89" spans="1:42" ht="15.75" thickBot="1">
      <c r="A89"/>
      <c r="B89"/>
      <c r="C89"/>
      <c r="D89"/>
      <c r="N89">
        <v>28</v>
      </c>
      <c r="O89">
        <f t="shared" si="70"/>
        <v>54.400000000000006</v>
      </c>
      <c r="P89" s="15">
        <f t="shared" si="46"/>
        <v>0.22058823529411761</v>
      </c>
      <c r="Q89" s="16">
        <f t="shared" si="47"/>
        <v>0.77941176470588236</v>
      </c>
      <c r="R89" s="16">
        <f t="shared" si="48"/>
        <v>19.899874843554443</v>
      </c>
      <c r="S89" s="17">
        <f t="shared" si="49"/>
        <v>59.949937421777221</v>
      </c>
      <c r="T89" s="15">
        <f t="shared" si="50"/>
        <v>0.26286764705882354</v>
      </c>
      <c r="U89" s="16">
        <f t="shared" si="51"/>
        <v>0.73713235294117641</v>
      </c>
      <c r="V89" s="16">
        <f t="shared" si="52"/>
        <v>22.427643929912399</v>
      </c>
      <c r="W89" s="17">
        <f t="shared" si="53"/>
        <v>61.213821964956196</v>
      </c>
      <c r="X89" s="15">
        <f t="shared" si="54"/>
        <v>0.29411764705882348</v>
      </c>
      <c r="Y89" s="16">
        <f t="shared" si="55"/>
        <v>0.70588235294117652</v>
      </c>
      <c r="Z89" s="16">
        <f t="shared" si="56"/>
        <v>24.030037546933666</v>
      </c>
      <c r="AA89" s="17">
        <f t="shared" si="57"/>
        <v>62.015018773466835</v>
      </c>
      <c r="AC89">
        <v>28</v>
      </c>
      <c r="AD89">
        <f t="shared" si="71"/>
        <v>14.24</v>
      </c>
      <c r="AE89" s="15">
        <f t="shared" si="58"/>
        <v>0.44500000000000001</v>
      </c>
      <c r="AF89" s="16">
        <f t="shared" si="59"/>
        <v>0.55499999999999994</v>
      </c>
      <c r="AG89" s="16">
        <f t="shared" si="60"/>
        <v>16.815319148936169</v>
      </c>
      <c r="AH89" s="17">
        <f t="shared" si="61"/>
        <v>58.407659574468084</v>
      </c>
      <c r="AI89" s="15">
        <f t="shared" si="62"/>
        <v>0.29666666666666669</v>
      </c>
      <c r="AJ89" s="16">
        <f t="shared" si="63"/>
        <v>0.70333333333333337</v>
      </c>
      <c r="AK89" s="16">
        <f t="shared" si="64"/>
        <v>21.309503546099293</v>
      </c>
      <c r="AL89" s="17">
        <f t="shared" si="65"/>
        <v>60.654751773049647</v>
      </c>
      <c r="AM89" s="15">
        <f t="shared" si="66"/>
        <v>0.19777777777777777</v>
      </c>
      <c r="AN89" s="16">
        <f t="shared" si="67"/>
        <v>0.80222222222222217</v>
      </c>
      <c r="AO89" s="16">
        <f t="shared" si="68"/>
        <v>24.30562647754137</v>
      </c>
      <c r="AP89" s="17">
        <f t="shared" si="69"/>
        <v>62.152813238770683</v>
      </c>
    </row>
    <row r="90" spans="1:42">
      <c r="A90" s="289" t="s">
        <v>459</v>
      </c>
      <c r="B90" s="290"/>
      <c r="C90" s="291"/>
      <c r="D90"/>
      <c r="N90">
        <v>29</v>
      </c>
      <c r="O90">
        <f t="shared" si="70"/>
        <v>55.2</v>
      </c>
      <c r="P90" s="15">
        <f t="shared" si="46"/>
        <v>0.21739130434782608</v>
      </c>
      <c r="Q90" s="16">
        <f t="shared" si="47"/>
        <v>0.78260869565217395</v>
      </c>
      <c r="R90" s="16">
        <f t="shared" si="48"/>
        <v>19.981498612395932</v>
      </c>
      <c r="S90" s="17">
        <f t="shared" si="49"/>
        <v>59.990749306197969</v>
      </c>
      <c r="T90" s="15">
        <f t="shared" si="50"/>
        <v>0.25905797101449274</v>
      </c>
      <c r="U90" s="16">
        <f t="shared" si="51"/>
        <v>0.74094202898550732</v>
      </c>
      <c r="V90" s="16">
        <f t="shared" si="52"/>
        <v>22.543555349984583</v>
      </c>
      <c r="W90" s="17">
        <f t="shared" si="53"/>
        <v>61.271777674992293</v>
      </c>
      <c r="X90" s="15">
        <f t="shared" si="54"/>
        <v>0.28985507246376813</v>
      </c>
      <c r="Y90" s="16">
        <f t="shared" si="55"/>
        <v>0.71014492753623193</v>
      </c>
      <c r="Z90" s="16">
        <f t="shared" si="56"/>
        <v>24.175146469318538</v>
      </c>
      <c r="AA90" s="17">
        <f t="shared" si="57"/>
        <v>62.087573234659267</v>
      </c>
      <c r="AC90">
        <v>29</v>
      </c>
      <c r="AD90">
        <f t="shared" si="71"/>
        <v>14.32</v>
      </c>
      <c r="AE90" s="15">
        <f t="shared" si="58"/>
        <v>0.44750000000000001</v>
      </c>
      <c r="AF90" s="16">
        <f t="shared" si="59"/>
        <v>0.55249999999999999</v>
      </c>
      <c r="AG90" s="16">
        <f t="shared" si="60"/>
        <v>16.833617021276599</v>
      </c>
      <c r="AH90" s="17">
        <f t="shared" si="61"/>
        <v>58.416808510638297</v>
      </c>
      <c r="AI90" s="15">
        <f t="shared" si="62"/>
        <v>0.29833333333333334</v>
      </c>
      <c r="AJ90" s="16">
        <f t="shared" si="63"/>
        <v>0.70166666666666666</v>
      </c>
      <c r="AK90" s="16">
        <f t="shared" si="64"/>
        <v>21.378439716312059</v>
      </c>
      <c r="AL90" s="17">
        <f t="shared" si="65"/>
        <v>60.689219858156029</v>
      </c>
      <c r="AM90" s="15">
        <f t="shared" si="66"/>
        <v>0.19888888888888889</v>
      </c>
      <c r="AN90" s="16">
        <f t="shared" si="67"/>
        <v>0.80111111111111111</v>
      </c>
      <c r="AO90" s="16">
        <f t="shared" si="68"/>
        <v>24.408321513002367</v>
      </c>
      <c r="AP90" s="17">
        <f t="shared" si="69"/>
        <v>62.204160756501182</v>
      </c>
    </row>
    <row r="91" spans="1:42">
      <c r="A91" s="73" t="s">
        <v>460</v>
      </c>
      <c r="B91" s="47">
        <f>Design_Converter!B69</f>
        <v>4</v>
      </c>
      <c r="C91" s="42" t="s">
        <v>103</v>
      </c>
      <c r="D91"/>
      <c r="N91">
        <v>30</v>
      </c>
      <c r="O91">
        <f t="shared" si="70"/>
        <v>56</v>
      </c>
      <c r="P91" s="15">
        <f t="shared" si="46"/>
        <v>0.21428571428571427</v>
      </c>
      <c r="Q91" s="16">
        <f t="shared" si="47"/>
        <v>0.7857142857142857</v>
      </c>
      <c r="R91" s="16">
        <f t="shared" si="48"/>
        <v>20.060790273556233</v>
      </c>
      <c r="S91" s="17">
        <f t="shared" si="49"/>
        <v>60.030395136778118</v>
      </c>
      <c r="T91" s="15">
        <f t="shared" si="50"/>
        <v>0.25535714285714289</v>
      </c>
      <c r="U91" s="16">
        <f t="shared" si="51"/>
        <v>0.74464285714285716</v>
      </c>
      <c r="V91" s="16">
        <f t="shared" si="52"/>
        <v>22.656155015197573</v>
      </c>
      <c r="W91" s="17">
        <f t="shared" si="53"/>
        <v>61.328077507598785</v>
      </c>
      <c r="X91" s="15">
        <f t="shared" si="54"/>
        <v>0.2857142857142857</v>
      </c>
      <c r="Y91" s="16">
        <f t="shared" si="55"/>
        <v>0.7142857142857143</v>
      </c>
      <c r="Z91" s="16">
        <f t="shared" si="56"/>
        <v>24.316109422492399</v>
      </c>
      <c r="AA91" s="17">
        <f t="shared" si="57"/>
        <v>62.158054711246201</v>
      </c>
      <c r="AC91">
        <v>30</v>
      </c>
      <c r="AD91">
        <f t="shared" si="71"/>
        <v>14.4</v>
      </c>
      <c r="AE91" s="15">
        <f t="shared" si="58"/>
        <v>0.45</v>
      </c>
      <c r="AF91" s="16">
        <f t="shared" si="59"/>
        <v>0.55000000000000004</v>
      </c>
      <c r="AG91" s="16">
        <f t="shared" si="60"/>
        <v>16.851063829787236</v>
      </c>
      <c r="AH91" s="17">
        <f t="shared" si="61"/>
        <v>58.425531914893618</v>
      </c>
      <c r="AI91" s="15">
        <f t="shared" si="62"/>
        <v>0.3</v>
      </c>
      <c r="AJ91" s="16">
        <f t="shared" si="63"/>
        <v>0.7</v>
      </c>
      <c r="AK91" s="16">
        <f t="shared" si="64"/>
        <v>21.446808510638299</v>
      </c>
      <c r="AL91" s="17">
        <f t="shared" si="65"/>
        <v>60.723404255319153</v>
      </c>
      <c r="AM91" s="15">
        <f t="shared" si="66"/>
        <v>0.2</v>
      </c>
      <c r="AN91" s="16">
        <f t="shared" si="67"/>
        <v>0.8</v>
      </c>
      <c r="AO91" s="16">
        <f t="shared" si="68"/>
        <v>24.510638297872344</v>
      </c>
      <c r="AP91" s="17">
        <f t="shared" si="69"/>
        <v>62.255319148936174</v>
      </c>
    </row>
    <row r="92" spans="1:42" ht="18">
      <c r="A92" s="73" t="s">
        <v>462</v>
      </c>
      <c r="B92" s="47">
        <f>Design_Converter!B70</f>
        <v>2</v>
      </c>
      <c r="C92" s="42" t="s">
        <v>1</v>
      </c>
      <c r="N92">
        <v>31</v>
      </c>
      <c r="O92">
        <f t="shared" si="70"/>
        <v>56.8</v>
      </c>
      <c r="P92" s="15">
        <f t="shared" si="46"/>
        <v>0.21126760563380284</v>
      </c>
      <c r="Q92" s="16">
        <f t="shared" si="47"/>
        <v>0.78873239436619713</v>
      </c>
      <c r="R92" s="16">
        <f t="shared" si="48"/>
        <v>20.137848366796526</v>
      </c>
      <c r="S92" s="17">
        <f t="shared" si="49"/>
        <v>60.068924183398266</v>
      </c>
      <c r="T92" s="15">
        <f t="shared" si="50"/>
        <v>0.25176056338028169</v>
      </c>
      <c r="U92" s="16">
        <f t="shared" si="51"/>
        <v>0.74823943661971826</v>
      </c>
      <c r="V92" s="16">
        <f t="shared" si="52"/>
        <v>22.765582858855261</v>
      </c>
      <c r="W92" s="17">
        <f t="shared" si="53"/>
        <v>61.382791429427627</v>
      </c>
      <c r="X92" s="15">
        <f t="shared" si="54"/>
        <v>0.28169014084507044</v>
      </c>
      <c r="Y92" s="16">
        <f t="shared" si="55"/>
        <v>0.71830985915492951</v>
      </c>
      <c r="Z92" s="16">
        <f t="shared" si="56"/>
        <v>24.453101588252924</v>
      </c>
      <c r="AA92" s="17">
        <f t="shared" si="57"/>
        <v>62.22655079412646</v>
      </c>
      <c r="AC92">
        <v>31</v>
      </c>
      <c r="AD92">
        <f t="shared" si="71"/>
        <v>14.48</v>
      </c>
      <c r="AE92" s="15">
        <f t="shared" si="58"/>
        <v>0.45250000000000001</v>
      </c>
      <c r="AF92" s="16">
        <f t="shared" si="59"/>
        <v>0.54749999999999999</v>
      </c>
      <c r="AG92" s="16">
        <f t="shared" si="60"/>
        <v>16.867659574468085</v>
      </c>
      <c r="AH92" s="17">
        <f t="shared" si="61"/>
        <v>58.433829787234046</v>
      </c>
      <c r="AI92" s="15">
        <f t="shared" si="62"/>
        <v>0.30166666666666669</v>
      </c>
      <c r="AJ92" s="16">
        <f t="shared" si="63"/>
        <v>0.69833333333333325</v>
      </c>
      <c r="AK92" s="16">
        <f t="shared" si="64"/>
        <v>21.514609929078016</v>
      </c>
      <c r="AL92" s="17">
        <f t="shared" si="65"/>
        <v>60.75730496453901</v>
      </c>
      <c r="AM92" s="15">
        <f t="shared" si="66"/>
        <v>0.20111111111111113</v>
      </c>
      <c r="AN92" s="16">
        <f t="shared" si="67"/>
        <v>0.79888888888888887</v>
      </c>
      <c r="AO92" s="16">
        <f t="shared" si="68"/>
        <v>24.612576832151301</v>
      </c>
      <c r="AP92" s="17">
        <f t="shared" si="69"/>
        <v>62.306288416075652</v>
      </c>
    </row>
    <row r="93" spans="1:42">
      <c r="A93" s="73" t="s">
        <v>470</v>
      </c>
      <c r="B93" s="47">
        <v>3.5</v>
      </c>
      <c r="C93" s="42" t="s">
        <v>1</v>
      </c>
      <c r="N93">
        <v>32</v>
      </c>
      <c r="O93">
        <f t="shared" si="70"/>
        <v>57.6</v>
      </c>
      <c r="P93" s="15">
        <f t="shared" ref="P93:P111" si="72">IF(I_Channel&lt;(($O93-V12_Min)*V12_Min)/((2*Lm*Fsw)*$O93),SQRT((2*I_Channel*Lm*Fsw*V12_Min)/($O93*($O93-V12_Min))),(V12_Min/$O93))</f>
        <v>0.20833333333333331</v>
      </c>
      <c r="Q93" s="16">
        <f t="shared" ref="Q93:Q111" si="73">IF(I_Channel&lt;(($O93-V12_Min)*V12_Min)/((2*Lm*Fsw)*$O93),SQRT((2*I_Channel*Lm*Fsw*V12_Min)/($O93*($O93-V12_Min)))*(($O93-V12_Min)/(V12_Min)),1-(V12_Min/$O93))</f>
        <v>0.79166666666666674</v>
      </c>
      <c r="R93" s="16">
        <f t="shared" ref="R93:R111" si="74">IF(I_Channel&lt;(($O93-V12_Min)*V12_Min)/((2*Lm*Fsw)*$O93),(P93/(Fsw*Lm))*($O93-V12_Min),((P93/(Fsw*Lm))*($O93-V12_Min)))</f>
        <v>20.212765957446809</v>
      </c>
      <c r="S93" s="17">
        <f t="shared" ref="S93:S111" si="75">IF(I_Channel&lt;(($O93-V12_Min)*V12_Min)/((2*Lm*Fsw)*$O93),(P93/(Fsw*Lm))*($O93-V12_Min),(R93/2)+I_Channel)</f>
        <v>60.106382978723403</v>
      </c>
      <c r="T93" s="15">
        <f t="shared" ref="T93:T111" si="76">IF(I_Channel&lt;(($O93-V12_Nom)*V12_Nom)/((2*Lm*Fsw)*$O93),SQRT((2*I_Channel*Lm*Fsw*V12_Nom)/($O93*($O93-V12_Nom))),(V12_Nom/$O93))</f>
        <v>0.2482638888888889</v>
      </c>
      <c r="U93" s="16">
        <f t="shared" ref="U93:U111" si="77">IF(I_Channel&lt;(($O93-V12_Nom)*V12_Nom)/((2*Lm*Fsw)*$O93),SQRT((2*I_Channel*Lm*Fsw*V12_Nom)/($O93*($O93-V12_Nom)))*(($O93-V12_Nom)/(V12_Nom)),1-(V12_Nom/$O93))</f>
        <v>0.75173611111111116</v>
      </c>
      <c r="V93" s="16">
        <f t="shared" ref="V93:V111" si="78">IF(I_Channel&lt;(($O93-V12_Nom)*V12_Nom)/((2*Lm*Fsw)*$O93),(T93/(Fsw*Lm))*($O93-V12_Nom),((T93/(Fsw*Lm))*($O93-V12_Nom)))</f>
        <v>22.871971040189123</v>
      </c>
      <c r="W93" s="17">
        <f t="shared" ref="W93:W111" si="79">IF(I_Channel&lt;(($O93-V12_Nom)*V12_Nom)/((2*Lm*Fsw)*$O93),(T93/(Fsw*Lm))*($O93-V12_Nom),(V93/2)+I_Channel)</f>
        <v>61.435985520094562</v>
      </c>
      <c r="X93" s="15">
        <f t="shared" ref="X93:X111" si="80">IF(I_Channel&lt;(($O93-V12_Max)*V12_Max)/((2*Lm*Fsw)*$O93),SQRT((2*I_Channel*Lm*Fsw*V12_Max)/($O93*($O93-V12_Max))),(V12_Max/$O93))</f>
        <v>0.27777777777777779</v>
      </c>
      <c r="Y93" s="16">
        <f t="shared" ref="Y93:Y111" si="81">IF(I_Channel&lt;(($O93-V12_Max)*V12_Max)/((2*Lm*Fsw)*$O93),SQRT((2*I_Channel*Lm*Fsw*V12_Max)/($O93*($O93-V12_Max)))*(($O93-V12_Max)/(V12_Max)),1-(V12_Max/$O93))</f>
        <v>0.72222222222222221</v>
      </c>
      <c r="Z93" s="16">
        <f t="shared" ref="Z93:Z111" si="82">IF(I_Channel&lt;(($O93-V12_Max)*V12_Max)/((2*Lm*Fsw)*$O93),(X93/(Fsw*Lm))*($O93-V12_Max),((X93/(Fsw*Lm))*($O93-V12_Max)))</f>
        <v>24.586288416075654</v>
      </c>
      <c r="AA93" s="17">
        <f t="shared" ref="AA93:AA111" si="83">IF(I_Channel&lt;(($O93-V12_Max)*V12_Max)/((2*Lm*Fsw)*$O93),(X93/(Fsw*Lm))*($O93-V12_Max),(Z93/2)+I_Channel)</f>
        <v>62.29314420803783</v>
      </c>
      <c r="AC93">
        <v>32</v>
      </c>
      <c r="AD93">
        <f t="shared" si="71"/>
        <v>14.56</v>
      </c>
      <c r="AE93" s="15">
        <f t="shared" ref="AE93:AE111" si="84">IF(I_Channel&lt;((V48_Min-$AD93)*$AD93)/((2*Lm*Fsw)*V48_Min),SQRT((2*I_Channel*Lm*Fsw*$AD93)/(V48_Min*(V48_Min-$AD93))),($AD93/V48_Min))</f>
        <v>0.45500000000000002</v>
      </c>
      <c r="AF93" s="16">
        <f t="shared" ref="AF93:AF111" si="85">IF(I_Channel&lt;((V48_Min-$AD93)*$AD93)/((2*Lm*Fsw)*V48_Min),SQRT((2*I_Channel*Lm*Fsw*$AD93)/(V48_Min*(V48_Min-$AD93)))*((V48_Min-$AD93)/($AD93)),1-($AD93/V48_Min))</f>
        <v>0.54499999999999993</v>
      </c>
      <c r="AG93" s="16">
        <f t="shared" ref="AG93:AG111" si="86">IF(I_Channel&lt;((V48_Min-$AD93)*$AD93)/((2*Lm*Fsw)*V48_Min),(AE93/(Fsw*Lm))*(V48_Min-$AD93),((AE93/(Fsw*Lm))*(V48_Min-$AD93)))</f>
        <v>16.883404255319149</v>
      </c>
      <c r="AH93" s="17">
        <f t="shared" ref="AH93:AH111" si="87">IF(I_Channel&lt;((V48_Min-$AD93)*$AD93)/((2*Lm*Fsw)*V48_Min),(AE93/(Fsw*Lm))*(V48_Min-$AD93),(AG93/2)+I_Channel)</f>
        <v>58.441702127659575</v>
      </c>
      <c r="AI93" s="15">
        <f t="shared" ref="AI93:AI111" si="88">IF(I_Channel&lt;((V48_Nom-$AD93)*$AD93)/((2*Lm*Fsw)*V48_Nom),SQRT((2*I_Channel*Lm*Fsw*$AD93)/(V48_Nom*(V48_Nom-$AD93))),($AD93/V48_Nom))</f>
        <v>0.30333333333333334</v>
      </c>
      <c r="AJ93" s="16">
        <f t="shared" ref="AJ93:AJ111" si="89">IF(I_Channel&lt;((V48_Nom-$AD93)*$AD93)/((2*Lm*Fsw)*V48_Nom),SQRT((2*I_Channel*Lm*Fsw*$AD93)/(V48_Nom*(V48_Nom-$AD93)))*((V48_Nom-$AD93)/($AD93)),1-($AD93/V48_Nom))</f>
        <v>0.69666666666666666</v>
      </c>
      <c r="AK93" s="16">
        <f t="shared" ref="AK93:AK111" si="90">IF(I_Channel&lt;((V48_Nom-$AD93)*$AD93)/((2*Lm*Fsw)*V48_Nom),(AI93/(Fsw*Lm))*(V48_Nom-$AD93),((AI93/(Fsw*Lm))*(V48_Nom-$AD93)))</f>
        <v>21.581843971631205</v>
      </c>
      <c r="AL93" s="17">
        <f t="shared" ref="AL93:AL111" si="91">IF(I_Channel&lt;((V48_Nom-$AD93)*$AD93)/((2*Lm*Fsw)*V48_Nom),(AI93/(Fsw*Lm))*(V48_Nom-$AD93),(AK93/2)+I_Channel)</f>
        <v>60.790921985815601</v>
      </c>
      <c r="AM93" s="15">
        <f t="shared" ref="AM93:AM111" si="92">IF(I_Channel&lt;((V48_Max-$AD93)*$AD93)/((2*Lm*Fsw)*V48_Max),SQRT((2*I_Channel*Lm*Fsw*$AD93)/(V48_Max*(V48_Max-$AD93))),($AD93/V48_Max))</f>
        <v>0.20222222222222222</v>
      </c>
      <c r="AN93" s="16">
        <f t="shared" ref="AN93:AN111" si="93">IF(I_Channel&lt;((V48_Max-$AD93)*$AD93)/((2*Lm*Fsw)*V48_Max),SQRT((2*I_Channel*Lm*Fsw*$AD93)/(V48_Max*(V48_Max-$AD93)))*((V48_Max-$AD93)/($AD93)),1-($AD93/V48_Max))</f>
        <v>0.79777777777777781</v>
      </c>
      <c r="AO93" s="16">
        <f t="shared" ref="AO93:AO111" si="94">IF(I_Channel&lt;((V48_Max-$AD93)*$AD93)/((2*Lm*Fsw)*V48_Max),(AM93/(Fsw*Lm))*(V48_Max-$AD93),((AM93/(Fsw*Lm))*(V48_Max-$AD93)))</f>
        <v>24.714137115839243</v>
      </c>
      <c r="AP93" s="17">
        <f t="shared" ref="AP93:AP111" si="95">IF(I_Channel&lt;((V48_Max-$AD93)*$AD93)/((2*Lm*Fsw)*V48_Max),(AM93/(Fsw*Lm))*(V48_Max-$AD93),(AO93/2)+I_Channel)</f>
        <v>62.357068557919618</v>
      </c>
    </row>
    <row r="94" spans="1:42" ht="18">
      <c r="A94" s="73" t="s">
        <v>464</v>
      </c>
      <c r="B94" s="55">
        <f>B92/0.1</f>
        <v>20</v>
      </c>
      <c r="C94" s="215" t="s">
        <v>95</v>
      </c>
      <c r="N94">
        <v>33</v>
      </c>
      <c r="O94">
        <f t="shared" ref="O94:O111" si="96">((V48_Max-V48_Min)/50)*N94+V48_Min</f>
        <v>58.400000000000006</v>
      </c>
      <c r="P94" s="15">
        <f t="shared" si="72"/>
        <v>0.20547945205479451</v>
      </c>
      <c r="Q94" s="16">
        <f t="shared" si="73"/>
        <v>0.79452054794520555</v>
      </c>
      <c r="R94" s="16">
        <f t="shared" si="74"/>
        <v>20.285631011366952</v>
      </c>
      <c r="S94" s="17">
        <f t="shared" si="75"/>
        <v>60.142815505683473</v>
      </c>
      <c r="T94" s="15">
        <f t="shared" si="76"/>
        <v>0.24486301369863012</v>
      </c>
      <c r="U94" s="16">
        <f t="shared" si="77"/>
        <v>0.75513698630136994</v>
      </c>
      <c r="V94" s="16">
        <f t="shared" si="78"/>
        <v>22.975444476828915</v>
      </c>
      <c r="W94" s="17">
        <f t="shared" si="79"/>
        <v>61.487722238414456</v>
      </c>
      <c r="X94" s="15">
        <f t="shared" si="80"/>
        <v>0.27397260273972601</v>
      </c>
      <c r="Y94" s="16">
        <f t="shared" si="81"/>
        <v>0.72602739726027399</v>
      </c>
      <c r="Z94" s="16">
        <f t="shared" si="82"/>
        <v>24.715826289711462</v>
      </c>
      <c r="AA94" s="17">
        <f t="shared" si="83"/>
        <v>62.357913144855729</v>
      </c>
      <c r="AC94">
        <v>33</v>
      </c>
      <c r="AD94">
        <f t="shared" ref="AD94:AD111" si="97">((V12_Max-V12_Min)/50)*AC94+V12_Min</f>
        <v>14.64</v>
      </c>
      <c r="AE94" s="15">
        <f t="shared" si="84"/>
        <v>0.45750000000000002</v>
      </c>
      <c r="AF94" s="16">
        <f t="shared" si="85"/>
        <v>0.54249999999999998</v>
      </c>
      <c r="AG94" s="16">
        <f t="shared" si="86"/>
        <v>16.898297872340425</v>
      </c>
      <c r="AH94" s="17">
        <f t="shared" si="87"/>
        <v>58.449148936170211</v>
      </c>
      <c r="AI94" s="15">
        <f t="shared" si="88"/>
        <v>0.30499999999999999</v>
      </c>
      <c r="AJ94" s="16">
        <f t="shared" si="89"/>
        <v>0.69500000000000006</v>
      </c>
      <c r="AK94" s="16">
        <f t="shared" si="90"/>
        <v>21.648510638297871</v>
      </c>
      <c r="AL94" s="17">
        <f t="shared" si="91"/>
        <v>60.824255319148932</v>
      </c>
      <c r="AM94" s="15">
        <f t="shared" si="92"/>
        <v>0.20333333333333334</v>
      </c>
      <c r="AN94" s="16">
        <f t="shared" si="93"/>
        <v>0.79666666666666663</v>
      </c>
      <c r="AO94" s="16">
        <f t="shared" si="94"/>
        <v>24.815319148936172</v>
      </c>
      <c r="AP94" s="17">
        <f t="shared" si="95"/>
        <v>62.407659574468084</v>
      </c>
    </row>
    <row r="95" spans="1:42" ht="18">
      <c r="A95" s="73" t="s">
        <v>465</v>
      </c>
      <c r="B95" s="47">
        <f>Design_Converter!B72</f>
        <v>20</v>
      </c>
      <c r="C95" s="215" t="s">
        <v>95</v>
      </c>
      <c r="N95">
        <v>34</v>
      </c>
      <c r="O95">
        <f t="shared" si="96"/>
        <v>59.2</v>
      </c>
      <c r="P95" s="15">
        <f t="shared" si="72"/>
        <v>0.20270270270270269</v>
      </c>
      <c r="Q95" s="16">
        <f t="shared" si="73"/>
        <v>0.79729729729729737</v>
      </c>
      <c r="R95" s="16">
        <f t="shared" si="74"/>
        <v>20.356526739505462</v>
      </c>
      <c r="S95" s="17">
        <f t="shared" si="75"/>
        <v>60.178263369752727</v>
      </c>
      <c r="T95" s="15">
        <f t="shared" si="76"/>
        <v>0.24155405405405406</v>
      </c>
      <c r="U95" s="16">
        <f t="shared" si="77"/>
        <v>0.75844594594594594</v>
      </c>
      <c r="V95" s="16">
        <f t="shared" si="78"/>
        <v>23.076121334100065</v>
      </c>
      <c r="W95" s="17">
        <f t="shared" si="79"/>
        <v>61.538060667050033</v>
      </c>
      <c r="X95" s="15">
        <f t="shared" si="80"/>
        <v>0.27027027027027023</v>
      </c>
      <c r="Y95" s="16">
        <f t="shared" si="81"/>
        <v>0.72972972972972983</v>
      </c>
      <c r="Z95" s="16">
        <f t="shared" si="82"/>
        <v>24.84186313973548</v>
      </c>
      <c r="AA95" s="17">
        <f t="shared" si="83"/>
        <v>62.42093156986774</v>
      </c>
      <c r="AC95">
        <v>34</v>
      </c>
      <c r="AD95">
        <f t="shared" si="97"/>
        <v>14.72</v>
      </c>
      <c r="AE95" s="15">
        <f t="shared" si="84"/>
        <v>0.46</v>
      </c>
      <c r="AF95" s="16">
        <f t="shared" si="85"/>
        <v>0.54</v>
      </c>
      <c r="AG95" s="16">
        <f t="shared" si="86"/>
        <v>16.912340425531916</v>
      </c>
      <c r="AH95" s="17">
        <f t="shared" si="87"/>
        <v>58.456170212765954</v>
      </c>
      <c r="AI95" s="15">
        <f t="shared" si="88"/>
        <v>0.3066666666666667</v>
      </c>
      <c r="AJ95" s="16">
        <f t="shared" si="89"/>
        <v>0.69333333333333336</v>
      </c>
      <c r="AK95" s="16">
        <f t="shared" si="90"/>
        <v>21.714609929078016</v>
      </c>
      <c r="AL95" s="17">
        <f t="shared" si="91"/>
        <v>60.857304964539011</v>
      </c>
      <c r="AM95" s="15">
        <f t="shared" si="92"/>
        <v>0.20444444444444446</v>
      </c>
      <c r="AN95" s="16">
        <f t="shared" si="93"/>
        <v>0.79555555555555557</v>
      </c>
      <c r="AO95" s="16">
        <f t="shared" si="94"/>
        <v>24.916122931442086</v>
      </c>
      <c r="AP95" s="17">
        <f t="shared" si="95"/>
        <v>62.458061465721045</v>
      </c>
    </row>
    <row r="96" spans="1:42" ht="18">
      <c r="A96" s="73" t="s">
        <v>466</v>
      </c>
      <c r="B96" s="55">
        <f>(B93-B92)/B92*B95</f>
        <v>15</v>
      </c>
      <c r="C96" s="215" t="s">
        <v>95</v>
      </c>
      <c r="N96">
        <v>35</v>
      </c>
      <c r="O96">
        <f t="shared" si="96"/>
        <v>60</v>
      </c>
      <c r="P96" s="15">
        <f t="shared" si="72"/>
        <v>0.2</v>
      </c>
      <c r="Q96" s="16">
        <f t="shared" si="73"/>
        <v>0.8</v>
      </c>
      <c r="R96" s="16">
        <f t="shared" si="74"/>
        <v>20.425531914893618</v>
      </c>
      <c r="S96" s="17">
        <f t="shared" si="75"/>
        <v>60.212765957446805</v>
      </c>
      <c r="T96" s="15">
        <f t="shared" si="76"/>
        <v>0.23833333333333334</v>
      </c>
      <c r="U96" s="16">
        <f t="shared" si="77"/>
        <v>0.76166666666666671</v>
      </c>
      <c r="V96" s="16">
        <f t="shared" si="78"/>
        <v>23.174113475177307</v>
      </c>
      <c r="W96" s="17">
        <f t="shared" si="79"/>
        <v>61.587056737588654</v>
      </c>
      <c r="X96" s="15">
        <f t="shared" si="80"/>
        <v>0.26666666666666666</v>
      </c>
      <c r="Y96" s="16">
        <f t="shared" si="81"/>
        <v>0.73333333333333339</v>
      </c>
      <c r="Z96" s="16">
        <f t="shared" si="82"/>
        <v>24.964539007092199</v>
      </c>
      <c r="AA96" s="17">
        <f t="shared" si="83"/>
        <v>62.4822695035461</v>
      </c>
      <c r="AC96">
        <v>35</v>
      </c>
      <c r="AD96">
        <f t="shared" si="97"/>
        <v>14.8</v>
      </c>
      <c r="AE96" s="15">
        <f t="shared" si="84"/>
        <v>0.46250000000000002</v>
      </c>
      <c r="AF96" s="16">
        <f t="shared" si="85"/>
        <v>0.53749999999999998</v>
      </c>
      <c r="AG96" s="16">
        <f t="shared" si="86"/>
        <v>16.925531914893618</v>
      </c>
      <c r="AH96" s="17">
        <f t="shared" si="87"/>
        <v>58.462765957446805</v>
      </c>
      <c r="AI96" s="15">
        <f t="shared" si="88"/>
        <v>0.30833333333333335</v>
      </c>
      <c r="AJ96" s="16">
        <f t="shared" si="89"/>
        <v>0.69166666666666665</v>
      </c>
      <c r="AK96" s="16">
        <f t="shared" si="90"/>
        <v>21.780141843971638</v>
      </c>
      <c r="AL96" s="17">
        <f t="shared" si="91"/>
        <v>60.890070921985817</v>
      </c>
      <c r="AM96" s="15">
        <f t="shared" si="92"/>
        <v>0.20555555555555557</v>
      </c>
      <c r="AN96" s="16">
        <f t="shared" si="93"/>
        <v>0.7944444444444444</v>
      </c>
      <c r="AO96" s="16">
        <f t="shared" si="94"/>
        <v>25.01654846335698</v>
      </c>
      <c r="AP96" s="17">
        <f t="shared" si="95"/>
        <v>62.508274231678492</v>
      </c>
    </row>
    <row r="97" spans="1:42" ht="18">
      <c r="A97" s="73" t="s">
        <v>463</v>
      </c>
      <c r="B97" s="47">
        <f>Design_Converter!B74</f>
        <v>15</v>
      </c>
      <c r="C97" s="215" t="s">
        <v>95</v>
      </c>
      <c r="N97">
        <v>36</v>
      </c>
      <c r="O97">
        <f t="shared" si="96"/>
        <v>60.8</v>
      </c>
      <c r="P97" s="15">
        <f t="shared" si="72"/>
        <v>0.19736842105263158</v>
      </c>
      <c r="Q97" s="16">
        <f t="shared" si="73"/>
        <v>0.80263157894736836</v>
      </c>
      <c r="R97" s="16">
        <f t="shared" si="74"/>
        <v>20.492721164613663</v>
      </c>
      <c r="S97" s="17">
        <f t="shared" si="75"/>
        <v>60.246360582306835</v>
      </c>
      <c r="T97" s="15">
        <f t="shared" si="76"/>
        <v>0.23519736842105265</v>
      </c>
      <c r="U97" s="16">
        <f t="shared" si="77"/>
        <v>0.76480263157894735</v>
      </c>
      <c r="V97" s="16">
        <f t="shared" si="78"/>
        <v>23.269526875699892</v>
      </c>
      <c r="W97" s="17">
        <f t="shared" si="79"/>
        <v>61.634763437849948</v>
      </c>
      <c r="X97" s="15">
        <f t="shared" si="80"/>
        <v>0.26315789473684209</v>
      </c>
      <c r="Y97" s="16">
        <f t="shared" si="81"/>
        <v>0.73684210526315796</v>
      </c>
      <c r="Z97" s="16">
        <f t="shared" si="82"/>
        <v>25.083986562150052</v>
      </c>
      <c r="AA97" s="17">
        <f t="shared" si="83"/>
        <v>62.541993281075023</v>
      </c>
      <c r="AC97">
        <v>36</v>
      </c>
      <c r="AD97">
        <f t="shared" si="97"/>
        <v>14.879999999999999</v>
      </c>
      <c r="AE97" s="15">
        <f t="shared" si="84"/>
        <v>0.46499999999999997</v>
      </c>
      <c r="AF97" s="16">
        <f t="shared" si="85"/>
        <v>0.53500000000000003</v>
      </c>
      <c r="AG97" s="16">
        <f t="shared" si="86"/>
        <v>16.937872340425535</v>
      </c>
      <c r="AH97" s="17">
        <f t="shared" si="87"/>
        <v>58.468936170212771</v>
      </c>
      <c r="AI97" s="15">
        <f t="shared" si="88"/>
        <v>0.31</v>
      </c>
      <c r="AJ97" s="16">
        <f t="shared" si="89"/>
        <v>0.69</v>
      </c>
      <c r="AK97" s="16">
        <f t="shared" si="90"/>
        <v>21.845106382978727</v>
      </c>
      <c r="AL97" s="17">
        <f t="shared" si="91"/>
        <v>60.922553191489364</v>
      </c>
      <c r="AM97" s="15">
        <f t="shared" si="92"/>
        <v>0.20666666666666667</v>
      </c>
      <c r="AN97" s="16">
        <f t="shared" si="93"/>
        <v>0.79333333333333333</v>
      </c>
      <c r="AO97" s="16">
        <f t="shared" si="94"/>
        <v>25.116595744680854</v>
      </c>
      <c r="AP97" s="17">
        <f t="shared" si="95"/>
        <v>62.558297872340425</v>
      </c>
    </row>
    <row r="98" spans="1:42" ht="18">
      <c r="A98" s="184" t="s">
        <v>522</v>
      </c>
      <c r="B98" s="55">
        <f>B95/(B95+B97)*B93</f>
        <v>2</v>
      </c>
      <c r="C98" s="215" t="s">
        <v>1</v>
      </c>
      <c r="N98">
        <v>37</v>
      </c>
      <c r="O98">
        <f t="shared" si="96"/>
        <v>61.6</v>
      </c>
      <c r="P98" s="15">
        <f t="shared" si="72"/>
        <v>0.19480519480519481</v>
      </c>
      <c r="Q98" s="16">
        <f t="shared" si="73"/>
        <v>0.80519480519480524</v>
      </c>
      <c r="R98" s="16">
        <f t="shared" si="74"/>
        <v>20.558165239016304</v>
      </c>
      <c r="S98" s="17">
        <f t="shared" si="75"/>
        <v>60.279082619508152</v>
      </c>
      <c r="T98" s="15">
        <f t="shared" si="76"/>
        <v>0.23214285714285715</v>
      </c>
      <c r="U98" s="16">
        <f t="shared" si="77"/>
        <v>0.76785714285714279</v>
      </c>
      <c r="V98" s="16">
        <f t="shared" si="78"/>
        <v>23.362462006079028</v>
      </c>
      <c r="W98" s="17">
        <f t="shared" si="79"/>
        <v>61.681231003039514</v>
      </c>
      <c r="X98" s="15">
        <f t="shared" si="80"/>
        <v>0.25974025974025972</v>
      </c>
      <c r="Y98" s="16">
        <f t="shared" si="81"/>
        <v>0.74025974025974028</v>
      </c>
      <c r="Z98" s="16">
        <f t="shared" si="82"/>
        <v>25.200331583310305</v>
      </c>
      <c r="AA98" s="17">
        <f t="shared" si="83"/>
        <v>62.600165791655151</v>
      </c>
      <c r="AC98">
        <v>37</v>
      </c>
      <c r="AD98">
        <f t="shared" si="97"/>
        <v>14.96</v>
      </c>
      <c r="AE98" s="15">
        <f t="shared" si="84"/>
        <v>0.46750000000000003</v>
      </c>
      <c r="AF98" s="16">
        <f t="shared" si="85"/>
        <v>0.53249999999999997</v>
      </c>
      <c r="AG98" s="16">
        <f t="shared" si="86"/>
        <v>16.949361702127661</v>
      </c>
      <c r="AH98" s="17">
        <f t="shared" si="87"/>
        <v>58.47468085106383</v>
      </c>
      <c r="AI98" s="15">
        <f t="shared" si="88"/>
        <v>0.3116666666666667</v>
      </c>
      <c r="AJ98" s="16">
        <f t="shared" si="89"/>
        <v>0.68833333333333324</v>
      </c>
      <c r="AK98" s="16">
        <f t="shared" si="90"/>
        <v>21.909503546099295</v>
      </c>
      <c r="AL98" s="17">
        <f t="shared" si="91"/>
        <v>60.954751773049651</v>
      </c>
      <c r="AM98" s="15">
        <f t="shared" si="92"/>
        <v>0.20777777777777778</v>
      </c>
      <c r="AN98" s="16">
        <f t="shared" si="93"/>
        <v>0.79222222222222216</v>
      </c>
      <c r="AO98" s="16">
        <f t="shared" si="94"/>
        <v>25.216264775413713</v>
      </c>
      <c r="AP98" s="17">
        <f t="shared" si="95"/>
        <v>62.60813238770686</v>
      </c>
    </row>
    <row r="99" spans="1:42" ht="18">
      <c r="A99" s="73" t="s">
        <v>467</v>
      </c>
      <c r="B99" s="55">
        <f>B91/2*(1/B95+1/B97)</f>
        <v>0.23333333333333334</v>
      </c>
      <c r="C99" s="42" t="s">
        <v>32</v>
      </c>
      <c r="N99">
        <v>38</v>
      </c>
      <c r="O99">
        <f t="shared" si="96"/>
        <v>62.400000000000006</v>
      </c>
      <c r="P99" s="15">
        <f t="shared" si="72"/>
        <v>0.19230769230769229</v>
      </c>
      <c r="Q99" s="16">
        <f t="shared" si="73"/>
        <v>0.80769230769230771</v>
      </c>
      <c r="R99" s="16">
        <f t="shared" si="74"/>
        <v>20.621931260229136</v>
      </c>
      <c r="S99" s="17">
        <f t="shared" si="75"/>
        <v>60.310965630114566</v>
      </c>
      <c r="T99" s="15">
        <f t="shared" si="76"/>
        <v>0.22916666666666666</v>
      </c>
      <c r="U99" s="16">
        <f t="shared" si="77"/>
        <v>0.77083333333333337</v>
      </c>
      <c r="V99" s="16">
        <f t="shared" si="78"/>
        <v>23.453014184397169</v>
      </c>
      <c r="W99" s="17">
        <f t="shared" si="79"/>
        <v>61.726507092198588</v>
      </c>
      <c r="X99" s="15">
        <f t="shared" si="80"/>
        <v>0.25641025641025639</v>
      </c>
      <c r="Y99" s="16">
        <f t="shared" si="81"/>
        <v>0.74358974358974361</v>
      </c>
      <c r="Z99" s="16">
        <f t="shared" si="82"/>
        <v>25.313693398799785</v>
      </c>
      <c r="AA99" s="17">
        <f t="shared" si="83"/>
        <v>62.656846699399892</v>
      </c>
      <c r="AC99">
        <v>38</v>
      </c>
      <c r="AD99">
        <f t="shared" si="97"/>
        <v>15.04</v>
      </c>
      <c r="AE99" s="15">
        <f t="shared" si="84"/>
        <v>0.47</v>
      </c>
      <c r="AF99" s="16">
        <f t="shared" si="85"/>
        <v>0.53</v>
      </c>
      <c r="AG99" s="16">
        <f t="shared" si="86"/>
        <v>16.96</v>
      </c>
      <c r="AH99" s="17">
        <f t="shared" si="87"/>
        <v>58.480000000000004</v>
      </c>
      <c r="AI99" s="15">
        <f t="shared" si="88"/>
        <v>0.3133333333333333</v>
      </c>
      <c r="AJ99" s="16">
        <f t="shared" si="89"/>
        <v>0.68666666666666676</v>
      </c>
      <c r="AK99" s="16">
        <f t="shared" si="90"/>
        <v>21.973333333333333</v>
      </c>
      <c r="AL99" s="17">
        <f t="shared" si="91"/>
        <v>60.986666666666665</v>
      </c>
      <c r="AM99" s="15">
        <f t="shared" si="92"/>
        <v>0.20888888888888887</v>
      </c>
      <c r="AN99" s="16">
        <f t="shared" si="93"/>
        <v>0.7911111111111111</v>
      </c>
      <c r="AO99" s="16">
        <f t="shared" si="94"/>
        <v>25.315555555555555</v>
      </c>
      <c r="AP99" s="17">
        <f t="shared" si="95"/>
        <v>62.657777777777781</v>
      </c>
    </row>
    <row r="100" spans="1:42" ht="18">
      <c r="A100" s="73" t="s">
        <v>468</v>
      </c>
      <c r="B100" s="47">
        <f>Design_Converter!B77</f>
        <v>0.22</v>
      </c>
      <c r="C100" s="42" t="s">
        <v>32</v>
      </c>
      <c r="N100">
        <v>39</v>
      </c>
      <c r="O100">
        <f t="shared" si="96"/>
        <v>63.2</v>
      </c>
      <c r="P100" s="15">
        <f t="shared" si="72"/>
        <v>0.18987341772151897</v>
      </c>
      <c r="Q100" s="16">
        <f t="shared" si="73"/>
        <v>0.810126582278481</v>
      </c>
      <c r="R100" s="16">
        <f t="shared" si="74"/>
        <v>20.684082951791005</v>
      </c>
      <c r="S100" s="17">
        <f t="shared" si="75"/>
        <v>60.342041475895499</v>
      </c>
      <c r="T100" s="15">
        <f t="shared" si="76"/>
        <v>0.22626582278481014</v>
      </c>
      <c r="U100" s="16">
        <f t="shared" si="77"/>
        <v>0.77373417721518989</v>
      </c>
      <c r="V100" s="16">
        <f t="shared" si="78"/>
        <v>23.54127390250472</v>
      </c>
      <c r="W100" s="17">
        <f t="shared" si="79"/>
        <v>61.770636951252357</v>
      </c>
      <c r="X100" s="15">
        <f t="shared" si="80"/>
        <v>0.25316455696202528</v>
      </c>
      <c r="Y100" s="16">
        <f t="shared" si="81"/>
        <v>0.74683544303797467</v>
      </c>
      <c r="Z100" s="16">
        <f t="shared" si="82"/>
        <v>25.424185294909776</v>
      </c>
      <c r="AA100" s="17">
        <f t="shared" si="83"/>
        <v>62.712092647454888</v>
      </c>
      <c r="AC100">
        <v>39</v>
      </c>
      <c r="AD100">
        <f t="shared" si="97"/>
        <v>15.120000000000001</v>
      </c>
      <c r="AE100" s="15">
        <f t="shared" si="84"/>
        <v>0.47250000000000003</v>
      </c>
      <c r="AF100" s="16">
        <f t="shared" si="85"/>
        <v>0.52749999999999997</v>
      </c>
      <c r="AG100" s="16">
        <f t="shared" si="86"/>
        <v>16.969787234042556</v>
      </c>
      <c r="AH100" s="17">
        <f t="shared" si="87"/>
        <v>58.484893617021278</v>
      </c>
      <c r="AI100" s="15">
        <f t="shared" si="88"/>
        <v>0.315</v>
      </c>
      <c r="AJ100" s="16">
        <f t="shared" si="89"/>
        <v>0.68500000000000005</v>
      </c>
      <c r="AK100" s="16">
        <f t="shared" si="90"/>
        <v>22.036595744680849</v>
      </c>
      <c r="AL100" s="17">
        <f t="shared" si="91"/>
        <v>61.018297872340426</v>
      </c>
      <c r="AM100" s="15">
        <f t="shared" si="92"/>
        <v>0.21000000000000002</v>
      </c>
      <c r="AN100" s="16">
        <f t="shared" si="93"/>
        <v>0.79</v>
      </c>
      <c r="AO100" s="16">
        <f t="shared" si="94"/>
        <v>25.414468085106385</v>
      </c>
      <c r="AP100" s="17">
        <f t="shared" si="95"/>
        <v>62.707234042553196</v>
      </c>
    </row>
    <row r="101" spans="1:42" ht="15.75" thickBot="1">
      <c r="A101" s="74" t="s">
        <v>469</v>
      </c>
      <c r="B101" s="217">
        <f>2*B100*B95*B97/(B95+B97)</f>
        <v>3.7714285714285714</v>
      </c>
      <c r="C101" s="42" t="s">
        <v>103</v>
      </c>
      <c r="N101">
        <v>40</v>
      </c>
      <c r="O101">
        <f t="shared" si="96"/>
        <v>64</v>
      </c>
      <c r="P101" s="15">
        <f t="shared" si="72"/>
        <v>0.1875</v>
      </c>
      <c r="Q101" s="16">
        <f t="shared" si="73"/>
        <v>0.8125</v>
      </c>
      <c r="R101" s="16">
        <f t="shared" si="74"/>
        <v>20.744680851063833</v>
      </c>
      <c r="S101" s="17">
        <f t="shared" si="75"/>
        <v>60.372340425531917</v>
      </c>
      <c r="T101" s="15">
        <f t="shared" si="76"/>
        <v>0.22343750000000001</v>
      </c>
      <c r="U101" s="16">
        <f t="shared" si="77"/>
        <v>0.77656250000000004</v>
      </c>
      <c r="V101" s="16">
        <f t="shared" si="78"/>
        <v>23.62732712765958</v>
      </c>
      <c r="W101" s="17">
        <f t="shared" si="79"/>
        <v>61.813663563829792</v>
      </c>
      <c r="X101" s="15">
        <f t="shared" si="80"/>
        <v>0.25</v>
      </c>
      <c r="Y101" s="16">
        <f t="shared" si="81"/>
        <v>0.75</v>
      </c>
      <c r="Z101" s="16">
        <f t="shared" si="82"/>
        <v>25.531914893617021</v>
      </c>
      <c r="AA101" s="17">
        <f t="shared" si="83"/>
        <v>62.765957446808514</v>
      </c>
      <c r="AC101">
        <v>40</v>
      </c>
      <c r="AD101">
        <f t="shared" si="97"/>
        <v>15.2</v>
      </c>
      <c r="AE101" s="15">
        <f t="shared" si="84"/>
        <v>0.47499999999999998</v>
      </c>
      <c r="AF101" s="16">
        <f t="shared" si="85"/>
        <v>0.52500000000000002</v>
      </c>
      <c r="AG101" s="16">
        <f t="shared" si="86"/>
        <v>16.978723404255319</v>
      </c>
      <c r="AH101" s="17">
        <f t="shared" si="87"/>
        <v>58.48936170212766</v>
      </c>
      <c r="AI101" s="15">
        <f t="shared" si="88"/>
        <v>0.31666666666666665</v>
      </c>
      <c r="AJ101" s="16">
        <f t="shared" si="89"/>
        <v>0.68333333333333335</v>
      </c>
      <c r="AK101" s="16">
        <f t="shared" si="90"/>
        <v>22.099290780141843</v>
      </c>
      <c r="AL101" s="17">
        <f t="shared" si="91"/>
        <v>61.049645390070921</v>
      </c>
      <c r="AM101" s="15">
        <f t="shared" si="92"/>
        <v>0.21111111111111111</v>
      </c>
      <c r="AN101" s="16">
        <f t="shared" si="93"/>
        <v>0.78888888888888886</v>
      </c>
      <c r="AO101" s="16">
        <f t="shared" si="94"/>
        <v>25.513002364066196</v>
      </c>
      <c r="AP101" s="17">
        <f t="shared" si="95"/>
        <v>62.756501182033098</v>
      </c>
    </row>
    <row r="102" spans="1:42" ht="15.75" thickBot="1">
      <c r="N102">
        <v>41</v>
      </c>
      <c r="O102">
        <f t="shared" si="96"/>
        <v>64.800000000000011</v>
      </c>
      <c r="P102" s="15">
        <f t="shared" si="72"/>
        <v>0.18518518518518515</v>
      </c>
      <c r="Q102" s="16">
        <f t="shared" si="73"/>
        <v>0.81481481481481488</v>
      </c>
      <c r="R102" s="16">
        <f t="shared" si="74"/>
        <v>20.803782505910167</v>
      </c>
      <c r="S102" s="17">
        <f t="shared" si="75"/>
        <v>60.401891252955082</v>
      </c>
      <c r="T102" s="15">
        <f t="shared" si="76"/>
        <v>0.22067901234567899</v>
      </c>
      <c r="U102" s="16">
        <f t="shared" si="77"/>
        <v>0.77932098765432101</v>
      </c>
      <c r="V102" s="16">
        <f t="shared" si="78"/>
        <v>23.711255581822964</v>
      </c>
      <c r="W102" s="17">
        <f t="shared" si="79"/>
        <v>61.855627790911484</v>
      </c>
      <c r="X102" s="15">
        <f t="shared" si="80"/>
        <v>0.24691358024691354</v>
      </c>
      <c r="Y102" s="16">
        <f t="shared" si="81"/>
        <v>0.75308641975308643</v>
      </c>
      <c r="Z102" s="16">
        <f t="shared" si="82"/>
        <v>25.636984502232732</v>
      </c>
      <c r="AA102" s="17">
        <f t="shared" si="83"/>
        <v>62.818492251116368</v>
      </c>
      <c r="AC102">
        <v>41</v>
      </c>
      <c r="AD102">
        <f t="shared" si="97"/>
        <v>15.280000000000001</v>
      </c>
      <c r="AE102" s="15">
        <f t="shared" si="84"/>
        <v>0.47750000000000004</v>
      </c>
      <c r="AF102" s="16">
        <f t="shared" si="85"/>
        <v>0.52249999999999996</v>
      </c>
      <c r="AG102" s="16">
        <f t="shared" si="86"/>
        <v>16.986808510638301</v>
      </c>
      <c r="AH102" s="17">
        <f t="shared" si="87"/>
        <v>58.493404255319149</v>
      </c>
      <c r="AI102" s="15">
        <f t="shared" si="88"/>
        <v>0.31833333333333336</v>
      </c>
      <c r="AJ102" s="16">
        <f t="shared" si="89"/>
        <v>0.68166666666666664</v>
      </c>
      <c r="AK102" s="16">
        <f t="shared" si="90"/>
        <v>22.161418439716311</v>
      </c>
      <c r="AL102" s="17">
        <f t="shared" si="91"/>
        <v>61.080709219858157</v>
      </c>
      <c r="AM102" s="15">
        <f t="shared" si="92"/>
        <v>0.21222222222222223</v>
      </c>
      <c r="AN102" s="16">
        <f t="shared" si="93"/>
        <v>0.7877777777777778</v>
      </c>
      <c r="AO102" s="16">
        <f t="shared" si="94"/>
        <v>25.611158392434991</v>
      </c>
      <c r="AP102" s="17">
        <f t="shared" si="95"/>
        <v>62.805579196217494</v>
      </c>
    </row>
    <row r="103" spans="1:42">
      <c r="A103" s="286" t="s">
        <v>461</v>
      </c>
      <c r="B103" s="287"/>
      <c r="C103" s="288"/>
      <c r="N103">
        <v>42</v>
      </c>
      <c r="O103">
        <f t="shared" si="96"/>
        <v>65.599999999999994</v>
      </c>
      <c r="P103" s="15">
        <f t="shared" si="72"/>
        <v>0.18292682926829271</v>
      </c>
      <c r="Q103" s="16">
        <f t="shared" si="73"/>
        <v>0.81707317073170727</v>
      </c>
      <c r="R103" s="16">
        <f t="shared" si="74"/>
        <v>20.861442656979765</v>
      </c>
      <c r="S103" s="17">
        <f t="shared" si="75"/>
        <v>60.430721328489881</v>
      </c>
      <c r="T103" s="15">
        <f t="shared" si="76"/>
        <v>0.21798780487804881</v>
      </c>
      <c r="U103" s="16">
        <f t="shared" si="77"/>
        <v>0.78201219512195119</v>
      </c>
      <c r="V103" s="16">
        <f t="shared" si="78"/>
        <v>23.793137000518943</v>
      </c>
      <c r="W103" s="17">
        <f t="shared" si="79"/>
        <v>61.89656850025947</v>
      </c>
      <c r="X103" s="15">
        <f t="shared" si="80"/>
        <v>0.24390243902439027</v>
      </c>
      <c r="Y103" s="16">
        <f t="shared" si="81"/>
        <v>0.75609756097560976</v>
      </c>
      <c r="Z103" s="16">
        <f t="shared" si="82"/>
        <v>25.739491437467571</v>
      </c>
      <c r="AA103" s="17">
        <f t="shared" si="83"/>
        <v>62.869745718733782</v>
      </c>
      <c r="AC103">
        <v>42</v>
      </c>
      <c r="AD103">
        <f t="shared" si="97"/>
        <v>15.36</v>
      </c>
      <c r="AE103" s="15">
        <f t="shared" si="84"/>
        <v>0.48</v>
      </c>
      <c r="AF103" s="16">
        <f t="shared" si="85"/>
        <v>0.52</v>
      </c>
      <c r="AG103" s="16">
        <f t="shared" si="86"/>
        <v>16.994042553191488</v>
      </c>
      <c r="AH103" s="17">
        <f t="shared" si="87"/>
        <v>58.497021276595746</v>
      </c>
      <c r="AI103" s="15">
        <f t="shared" si="88"/>
        <v>0.32</v>
      </c>
      <c r="AJ103" s="16">
        <f t="shared" si="89"/>
        <v>0.67999999999999994</v>
      </c>
      <c r="AK103" s="16">
        <f t="shared" si="90"/>
        <v>22.22297872340426</v>
      </c>
      <c r="AL103" s="17">
        <f t="shared" si="91"/>
        <v>61.111489361702127</v>
      </c>
      <c r="AM103" s="15">
        <f t="shared" si="92"/>
        <v>0.21333333333333332</v>
      </c>
      <c r="AN103" s="16">
        <f t="shared" si="93"/>
        <v>0.78666666666666663</v>
      </c>
      <c r="AO103" s="16">
        <f t="shared" si="94"/>
        <v>25.708936170212766</v>
      </c>
      <c r="AP103" s="17">
        <f t="shared" si="95"/>
        <v>62.854468085106383</v>
      </c>
    </row>
    <row r="104" spans="1:42">
      <c r="A104" s="73" t="s">
        <v>174</v>
      </c>
      <c r="B104" s="47">
        <f>Design_Converter!B80*(10^-3)</f>
        <v>1E-3</v>
      </c>
      <c r="C104" s="42" t="s">
        <v>23</v>
      </c>
      <c r="N104">
        <v>43</v>
      </c>
      <c r="O104">
        <f t="shared" si="96"/>
        <v>66.400000000000006</v>
      </c>
      <c r="P104" s="15">
        <f t="shared" si="72"/>
        <v>0.18072289156626503</v>
      </c>
      <c r="Q104" s="16">
        <f t="shared" si="73"/>
        <v>0.81927710843373491</v>
      </c>
      <c r="R104" s="16">
        <f t="shared" si="74"/>
        <v>20.917713406818766</v>
      </c>
      <c r="S104" s="17">
        <f t="shared" si="75"/>
        <v>60.458856703409381</v>
      </c>
      <c r="T104" s="15">
        <f t="shared" si="76"/>
        <v>0.21536144578313252</v>
      </c>
      <c r="U104" s="16">
        <f t="shared" si="77"/>
        <v>0.78463855421686746</v>
      </c>
      <c r="V104" s="16">
        <f t="shared" si="78"/>
        <v>23.873045372981291</v>
      </c>
      <c r="W104" s="17">
        <f t="shared" si="79"/>
        <v>61.936522686490648</v>
      </c>
      <c r="X104" s="15">
        <f t="shared" si="80"/>
        <v>0.24096385542168672</v>
      </c>
      <c r="Y104" s="16">
        <f t="shared" si="81"/>
        <v>0.75903614457831325</v>
      </c>
      <c r="Z104" s="16">
        <f t="shared" si="82"/>
        <v>25.839528326070237</v>
      </c>
      <c r="AA104" s="17">
        <f t="shared" si="83"/>
        <v>62.919764163035119</v>
      </c>
      <c r="AC104">
        <v>43</v>
      </c>
      <c r="AD104">
        <f t="shared" si="97"/>
        <v>15.44</v>
      </c>
      <c r="AE104" s="15">
        <f t="shared" si="84"/>
        <v>0.48249999999999998</v>
      </c>
      <c r="AF104" s="16">
        <f t="shared" si="85"/>
        <v>0.51750000000000007</v>
      </c>
      <c r="AG104" s="16">
        <f t="shared" si="86"/>
        <v>17.000425531914896</v>
      </c>
      <c r="AH104" s="17">
        <f t="shared" si="87"/>
        <v>58.50021276595745</v>
      </c>
      <c r="AI104" s="15">
        <f t="shared" si="88"/>
        <v>0.32166666666666666</v>
      </c>
      <c r="AJ104" s="16">
        <f t="shared" si="89"/>
        <v>0.67833333333333334</v>
      </c>
      <c r="AK104" s="16">
        <f t="shared" si="90"/>
        <v>22.283971631205677</v>
      </c>
      <c r="AL104" s="17">
        <f t="shared" si="91"/>
        <v>61.141985815602837</v>
      </c>
      <c r="AM104" s="15">
        <f t="shared" si="92"/>
        <v>0.21444444444444444</v>
      </c>
      <c r="AN104" s="16">
        <f t="shared" si="93"/>
        <v>0.78555555555555556</v>
      </c>
      <c r="AO104" s="16">
        <f t="shared" si="94"/>
        <v>25.806335697399529</v>
      </c>
      <c r="AP104" s="17">
        <f t="shared" si="95"/>
        <v>62.903167848699766</v>
      </c>
    </row>
    <row r="105" spans="1:42">
      <c r="A105" s="73" t="s">
        <v>394</v>
      </c>
      <c r="B105" s="48">
        <f>(MAX(I_Channel_Design,B28)*Rcs*40+1)/2+1</f>
        <v>2.1</v>
      </c>
      <c r="C105" s="42" t="s">
        <v>1</v>
      </c>
      <c r="N105">
        <v>44</v>
      </c>
      <c r="O105">
        <f t="shared" si="96"/>
        <v>67.2</v>
      </c>
      <c r="P105" s="15">
        <f t="shared" si="72"/>
        <v>0.17857142857142858</v>
      </c>
      <c r="Q105" s="16">
        <f t="shared" si="73"/>
        <v>0.8214285714285714</v>
      </c>
      <c r="R105" s="16">
        <f t="shared" si="74"/>
        <v>20.972644376899698</v>
      </c>
      <c r="S105" s="17">
        <f t="shared" si="75"/>
        <v>60.486322188449847</v>
      </c>
      <c r="T105" s="15">
        <f t="shared" si="76"/>
        <v>0.21279761904761904</v>
      </c>
      <c r="U105" s="16">
        <f t="shared" si="77"/>
        <v>0.78720238095238093</v>
      </c>
      <c r="V105" s="16">
        <f t="shared" si="78"/>
        <v>23.951051165146914</v>
      </c>
      <c r="W105" s="17">
        <f t="shared" si="79"/>
        <v>61.975525582573454</v>
      </c>
      <c r="X105" s="15">
        <f t="shared" si="80"/>
        <v>0.23809523809523808</v>
      </c>
      <c r="Y105" s="16">
        <f t="shared" si="81"/>
        <v>0.76190476190476186</v>
      </c>
      <c r="Z105" s="16">
        <f t="shared" si="82"/>
        <v>25.937183383991897</v>
      </c>
      <c r="AA105" s="17">
        <f t="shared" si="83"/>
        <v>62.968591691995947</v>
      </c>
      <c r="AC105">
        <v>44</v>
      </c>
      <c r="AD105">
        <f t="shared" si="97"/>
        <v>15.52</v>
      </c>
      <c r="AE105" s="15">
        <f t="shared" si="84"/>
        <v>0.48499999999999999</v>
      </c>
      <c r="AF105" s="16">
        <f t="shared" si="85"/>
        <v>0.51500000000000001</v>
      </c>
      <c r="AG105" s="16">
        <f t="shared" si="86"/>
        <v>17.005957446808512</v>
      </c>
      <c r="AH105" s="17">
        <f t="shared" si="87"/>
        <v>58.502978723404254</v>
      </c>
      <c r="AI105" s="15">
        <f t="shared" si="88"/>
        <v>0.32333333333333331</v>
      </c>
      <c r="AJ105" s="16">
        <f t="shared" si="89"/>
        <v>0.67666666666666675</v>
      </c>
      <c r="AK105" s="16">
        <f t="shared" si="90"/>
        <v>22.344397163120568</v>
      </c>
      <c r="AL105" s="17">
        <f t="shared" si="91"/>
        <v>61.172198581560281</v>
      </c>
      <c r="AM105" s="15">
        <f t="shared" si="92"/>
        <v>0.21555555555555556</v>
      </c>
      <c r="AN105" s="16">
        <f t="shared" si="93"/>
        <v>0.7844444444444445</v>
      </c>
      <c r="AO105" s="16">
        <f t="shared" si="94"/>
        <v>25.903356973995276</v>
      </c>
      <c r="AP105" s="17">
        <f t="shared" si="95"/>
        <v>62.951678486997636</v>
      </c>
    </row>
    <row r="106" spans="1:42">
      <c r="A106" s="73" t="s">
        <v>104</v>
      </c>
      <c r="B106" s="48">
        <f>IF(B88=0,0.1,(Constants!C33*Calculations!B104/B105)*(10^9))</f>
        <v>0.1</v>
      </c>
      <c r="C106" s="42" t="s">
        <v>40</v>
      </c>
      <c r="N106">
        <v>45</v>
      </c>
      <c r="O106">
        <f t="shared" si="96"/>
        <v>68</v>
      </c>
      <c r="P106" s="15">
        <f t="shared" si="72"/>
        <v>0.17647058823529413</v>
      </c>
      <c r="Q106" s="16">
        <f t="shared" si="73"/>
        <v>0.82352941176470584</v>
      </c>
      <c r="R106" s="16">
        <f t="shared" si="74"/>
        <v>21.026282853566961</v>
      </c>
      <c r="S106" s="17">
        <f t="shared" si="75"/>
        <v>60.513141426783477</v>
      </c>
      <c r="T106" s="15">
        <f t="shared" si="76"/>
        <v>0.21029411764705883</v>
      </c>
      <c r="U106" s="16">
        <f t="shared" si="77"/>
        <v>0.78970588235294115</v>
      </c>
      <c r="V106" s="16">
        <f t="shared" si="78"/>
        <v>24.027221526908637</v>
      </c>
      <c r="W106" s="17">
        <f t="shared" si="79"/>
        <v>62.013610763454317</v>
      </c>
      <c r="X106" s="15">
        <f t="shared" si="80"/>
        <v>0.23529411764705882</v>
      </c>
      <c r="Y106" s="16">
        <f t="shared" si="81"/>
        <v>0.76470588235294112</v>
      </c>
      <c r="Z106" s="16">
        <f t="shared" si="82"/>
        <v>26.032540675844807</v>
      </c>
      <c r="AA106" s="17">
        <f t="shared" si="83"/>
        <v>63.016270337922407</v>
      </c>
      <c r="AC106">
        <v>45</v>
      </c>
      <c r="AD106">
        <f t="shared" si="97"/>
        <v>15.6</v>
      </c>
      <c r="AE106" s="15">
        <f t="shared" si="84"/>
        <v>0.48749999999999999</v>
      </c>
      <c r="AF106" s="16">
        <f t="shared" si="85"/>
        <v>0.51249999999999996</v>
      </c>
      <c r="AG106" s="16">
        <f t="shared" si="86"/>
        <v>17.01063829787234</v>
      </c>
      <c r="AH106" s="17">
        <f t="shared" si="87"/>
        <v>58.505319148936167</v>
      </c>
      <c r="AI106" s="15">
        <f t="shared" si="88"/>
        <v>0.32500000000000001</v>
      </c>
      <c r="AJ106" s="16">
        <f t="shared" si="89"/>
        <v>0.67500000000000004</v>
      </c>
      <c r="AK106" s="16">
        <f t="shared" si="90"/>
        <v>22.404255319148938</v>
      </c>
      <c r="AL106" s="17">
        <f t="shared" si="91"/>
        <v>61.202127659574472</v>
      </c>
      <c r="AM106" s="15">
        <f t="shared" si="92"/>
        <v>0.21666666666666667</v>
      </c>
      <c r="AN106" s="16">
        <f t="shared" si="93"/>
        <v>0.78333333333333333</v>
      </c>
      <c r="AO106" s="16">
        <f t="shared" si="94"/>
        <v>26.000000000000004</v>
      </c>
      <c r="AP106" s="17">
        <f t="shared" si="95"/>
        <v>63</v>
      </c>
    </row>
    <row r="107" spans="1:42">
      <c r="A107" s="73" t="s">
        <v>155</v>
      </c>
      <c r="B107" s="47">
        <f>Design_Converter!B82</f>
        <v>0.1</v>
      </c>
      <c r="C107" s="42" t="s">
        <v>40</v>
      </c>
      <c r="N107">
        <v>46</v>
      </c>
      <c r="O107">
        <f t="shared" si="96"/>
        <v>68.800000000000011</v>
      </c>
      <c r="P107" s="15">
        <f t="shared" si="72"/>
        <v>0.17441860465116277</v>
      </c>
      <c r="Q107" s="16">
        <f t="shared" si="73"/>
        <v>0.82558139534883723</v>
      </c>
      <c r="R107" s="16">
        <f t="shared" si="74"/>
        <v>21.078673923800103</v>
      </c>
      <c r="S107" s="17">
        <f t="shared" si="75"/>
        <v>60.539336961900048</v>
      </c>
      <c r="T107" s="15">
        <f t="shared" si="76"/>
        <v>0.20784883720930231</v>
      </c>
      <c r="U107" s="16">
        <f t="shared" si="77"/>
        <v>0.79215116279069764</v>
      </c>
      <c r="V107" s="16">
        <f t="shared" si="78"/>
        <v>24.101620484908466</v>
      </c>
      <c r="W107" s="17">
        <f t="shared" si="79"/>
        <v>62.050810242454233</v>
      </c>
      <c r="X107" s="15">
        <f t="shared" si="80"/>
        <v>0.23255813953488369</v>
      </c>
      <c r="Y107" s="16">
        <f t="shared" si="81"/>
        <v>0.76744186046511631</v>
      </c>
      <c r="Z107" s="16">
        <f t="shared" si="82"/>
        <v>26.125680356259281</v>
      </c>
      <c r="AA107" s="17">
        <f t="shared" si="83"/>
        <v>63.06284017812964</v>
      </c>
      <c r="AC107">
        <v>46</v>
      </c>
      <c r="AD107">
        <f t="shared" si="97"/>
        <v>15.68</v>
      </c>
      <c r="AE107" s="15">
        <f t="shared" si="84"/>
        <v>0.49</v>
      </c>
      <c r="AF107" s="16">
        <f t="shared" si="85"/>
        <v>0.51</v>
      </c>
      <c r="AG107" s="16">
        <f t="shared" si="86"/>
        <v>17.014468085106383</v>
      </c>
      <c r="AH107" s="17">
        <f t="shared" si="87"/>
        <v>58.507234042553193</v>
      </c>
      <c r="AI107" s="15">
        <f t="shared" si="88"/>
        <v>0.32666666666666666</v>
      </c>
      <c r="AJ107" s="16">
        <f t="shared" si="89"/>
        <v>0.67333333333333334</v>
      </c>
      <c r="AK107" s="16">
        <f t="shared" si="90"/>
        <v>22.463546099290781</v>
      </c>
      <c r="AL107" s="17">
        <f t="shared" si="91"/>
        <v>61.23177304964539</v>
      </c>
      <c r="AM107" s="15">
        <f t="shared" si="92"/>
        <v>0.21777777777777776</v>
      </c>
      <c r="AN107" s="16">
        <f t="shared" si="93"/>
        <v>0.78222222222222226</v>
      </c>
      <c r="AO107" s="16">
        <f t="shared" si="94"/>
        <v>26.096264775413712</v>
      </c>
      <c r="AP107" s="17">
        <f t="shared" si="95"/>
        <v>63.048132387706858</v>
      </c>
    </row>
    <row r="108" spans="1:42" ht="15.75" thickBot="1">
      <c r="A108" s="74" t="s">
        <v>156</v>
      </c>
      <c r="B108" s="209">
        <f>1000*(B105*(B107*10^-9)/(Constants!C33))</f>
        <v>4.2000000000000015E-3</v>
      </c>
      <c r="C108" s="75" t="s">
        <v>103</v>
      </c>
      <c r="N108">
        <v>47</v>
      </c>
      <c r="O108">
        <f t="shared" si="96"/>
        <v>69.599999999999994</v>
      </c>
      <c r="P108" s="15">
        <f t="shared" si="72"/>
        <v>0.17241379310344829</v>
      </c>
      <c r="Q108" s="16">
        <f t="shared" si="73"/>
        <v>0.82758620689655171</v>
      </c>
      <c r="R108" s="16">
        <f t="shared" si="74"/>
        <v>21.129860601614087</v>
      </c>
      <c r="S108" s="17">
        <f t="shared" si="75"/>
        <v>60.564930300807042</v>
      </c>
      <c r="T108" s="15">
        <f t="shared" si="76"/>
        <v>0.20545977011494257</v>
      </c>
      <c r="U108" s="16">
        <f t="shared" si="77"/>
        <v>0.79454022988505746</v>
      </c>
      <c r="V108" s="16">
        <f t="shared" si="78"/>
        <v>24.174309122034732</v>
      </c>
      <c r="W108" s="17">
        <f t="shared" si="79"/>
        <v>62.087154561017364</v>
      </c>
      <c r="X108" s="15">
        <f t="shared" si="80"/>
        <v>0.22988505747126439</v>
      </c>
      <c r="Y108" s="16">
        <f t="shared" si="81"/>
        <v>0.77011494252873558</v>
      </c>
      <c r="Z108" s="16">
        <f t="shared" si="82"/>
        <v>26.216678894595258</v>
      </c>
      <c r="AA108" s="17">
        <f t="shared" si="83"/>
        <v>63.108339447297631</v>
      </c>
      <c r="AC108">
        <v>47</v>
      </c>
      <c r="AD108">
        <f t="shared" si="97"/>
        <v>15.76</v>
      </c>
      <c r="AE108" s="15">
        <f t="shared" si="84"/>
        <v>0.49249999999999999</v>
      </c>
      <c r="AF108" s="16">
        <f t="shared" si="85"/>
        <v>0.50750000000000006</v>
      </c>
      <c r="AG108" s="16">
        <f t="shared" si="86"/>
        <v>17.017446808510641</v>
      </c>
      <c r="AH108" s="17">
        <f t="shared" si="87"/>
        <v>58.508723404255321</v>
      </c>
      <c r="AI108" s="15">
        <f t="shared" si="88"/>
        <v>0.32833333333333331</v>
      </c>
      <c r="AJ108" s="16">
        <f t="shared" si="89"/>
        <v>0.67166666666666663</v>
      </c>
      <c r="AK108" s="16">
        <f t="shared" si="90"/>
        <v>22.522269503546099</v>
      </c>
      <c r="AL108" s="17">
        <f t="shared" si="91"/>
        <v>61.261134751773049</v>
      </c>
      <c r="AM108" s="15">
        <f t="shared" si="92"/>
        <v>0.21888888888888888</v>
      </c>
      <c r="AN108" s="16">
        <f t="shared" si="93"/>
        <v>0.78111111111111109</v>
      </c>
      <c r="AO108" s="16">
        <f t="shared" si="94"/>
        <v>26.192151300236407</v>
      </c>
      <c r="AP108" s="17">
        <f t="shared" si="95"/>
        <v>63.096075650118202</v>
      </c>
    </row>
    <row r="109" spans="1:42">
      <c r="A109"/>
      <c r="B109"/>
      <c r="C109"/>
      <c r="N109">
        <v>48</v>
      </c>
      <c r="O109">
        <f t="shared" si="96"/>
        <v>70.400000000000006</v>
      </c>
      <c r="P109" s="15">
        <f t="shared" si="72"/>
        <v>0.17045454545454544</v>
      </c>
      <c r="Q109" s="16">
        <f t="shared" si="73"/>
        <v>0.82954545454545459</v>
      </c>
      <c r="R109" s="16">
        <f t="shared" si="74"/>
        <v>21.179883945841393</v>
      </c>
      <c r="S109" s="17">
        <f t="shared" si="75"/>
        <v>60.589941972920698</v>
      </c>
      <c r="T109" s="15">
        <f t="shared" si="76"/>
        <v>0.203125</v>
      </c>
      <c r="U109" s="16">
        <f t="shared" si="77"/>
        <v>0.796875</v>
      </c>
      <c r="V109" s="16">
        <f t="shared" si="78"/>
        <v>24.245345744680854</v>
      </c>
      <c r="W109" s="17">
        <f t="shared" si="79"/>
        <v>62.122672872340431</v>
      </c>
      <c r="X109" s="15">
        <f t="shared" si="80"/>
        <v>0.22727272727272727</v>
      </c>
      <c r="Y109" s="16">
        <f t="shared" si="81"/>
        <v>0.77272727272727271</v>
      </c>
      <c r="Z109" s="16">
        <f t="shared" si="82"/>
        <v>26.305609284332693</v>
      </c>
      <c r="AA109" s="17">
        <f t="shared" si="83"/>
        <v>63.152804642166345</v>
      </c>
      <c r="AC109">
        <v>48</v>
      </c>
      <c r="AD109">
        <f t="shared" si="97"/>
        <v>15.84</v>
      </c>
      <c r="AE109" s="15">
        <f t="shared" si="84"/>
        <v>0.495</v>
      </c>
      <c r="AF109" s="16">
        <f t="shared" si="85"/>
        <v>0.505</v>
      </c>
      <c r="AG109" s="16">
        <f t="shared" si="86"/>
        <v>17.019574468085107</v>
      </c>
      <c r="AH109" s="17">
        <f t="shared" si="87"/>
        <v>58.509787234042555</v>
      </c>
      <c r="AI109" s="15">
        <f t="shared" si="88"/>
        <v>0.33</v>
      </c>
      <c r="AJ109" s="16">
        <f t="shared" si="89"/>
        <v>0.66999999999999993</v>
      </c>
      <c r="AK109" s="16">
        <f t="shared" si="90"/>
        <v>22.580425531914894</v>
      </c>
      <c r="AL109" s="17">
        <f t="shared" si="91"/>
        <v>61.290212765957449</v>
      </c>
      <c r="AM109" s="15">
        <f t="shared" si="92"/>
        <v>0.22</v>
      </c>
      <c r="AN109" s="16">
        <f t="shared" si="93"/>
        <v>0.78</v>
      </c>
      <c r="AO109" s="16">
        <f t="shared" si="94"/>
        <v>26.287659574468083</v>
      </c>
      <c r="AP109" s="17">
        <f t="shared" si="95"/>
        <v>63.14382978723404</v>
      </c>
    </row>
    <row r="110" spans="1:42">
      <c r="A110"/>
      <c r="B110"/>
      <c r="C110"/>
      <c r="N110">
        <v>49</v>
      </c>
      <c r="O110">
        <f t="shared" si="96"/>
        <v>71.2</v>
      </c>
      <c r="P110" s="15">
        <f t="shared" si="72"/>
        <v>0.16853932584269662</v>
      </c>
      <c r="Q110" s="16">
        <f t="shared" si="73"/>
        <v>0.8314606741573034</v>
      </c>
      <c r="R110" s="16">
        <f t="shared" si="74"/>
        <v>21.228783169973706</v>
      </c>
      <c r="S110" s="17">
        <f t="shared" si="75"/>
        <v>60.614391584986855</v>
      </c>
      <c r="T110" s="15">
        <f t="shared" si="76"/>
        <v>0.20084269662921347</v>
      </c>
      <c r="U110" s="16">
        <f t="shared" si="77"/>
        <v>0.7991573033707865</v>
      </c>
      <c r="V110" s="16">
        <f t="shared" si="78"/>
        <v>24.314786038728187</v>
      </c>
      <c r="W110" s="17">
        <f t="shared" si="79"/>
        <v>62.157393019364093</v>
      </c>
      <c r="X110" s="15">
        <f t="shared" si="80"/>
        <v>0.2247191011235955</v>
      </c>
      <c r="Y110" s="16">
        <f t="shared" si="81"/>
        <v>0.7752808988764045</v>
      </c>
      <c r="Z110" s="16">
        <f t="shared" si="82"/>
        <v>26.392541238345686</v>
      </c>
      <c r="AA110" s="17">
        <f t="shared" si="83"/>
        <v>63.196270619172843</v>
      </c>
      <c r="AC110">
        <v>49</v>
      </c>
      <c r="AD110">
        <f t="shared" si="97"/>
        <v>15.92</v>
      </c>
      <c r="AE110" s="15">
        <f t="shared" si="84"/>
        <v>0.4975</v>
      </c>
      <c r="AF110" s="16">
        <f t="shared" si="85"/>
        <v>0.50249999999999995</v>
      </c>
      <c r="AG110" s="16">
        <f t="shared" si="86"/>
        <v>17.020851063829788</v>
      </c>
      <c r="AH110" s="17">
        <f t="shared" si="87"/>
        <v>58.51042553191489</v>
      </c>
      <c r="AI110" s="15">
        <f t="shared" si="88"/>
        <v>0.33166666666666667</v>
      </c>
      <c r="AJ110" s="16">
        <f t="shared" si="89"/>
        <v>0.66833333333333333</v>
      </c>
      <c r="AK110" s="16">
        <f t="shared" si="90"/>
        <v>22.638014184397164</v>
      </c>
      <c r="AL110" s="17">
        <f t="shared" si="91"/>
        <v>61.319007092198582</v>
      </c>
      <c r="AM110" s="15">
        <f t="shared" si="92"/>
        <v>0.22111111111111112</v>
      </c>
      <c r="AN110" s="16">
        <f t="shared" si="93"/>
        <v>0.77888888888888885</v>
      </c>
      <c r="AO110" s="16">
        <f t="shared" si="94"/>
        <v>26.382789598108751</v>
      </c>
      <c r="AP110" s="17">
        <f t="shared" si="95"/>
        <v>63.191394799054379</v>
      </c>
    </row>
    <row r="111" spans="1:42">
      <c r="A111"/>
      <c r="B111"/>
      <c r="C111"/>
      <c r="N111">
        <v>50</v>
      </c>
      <c r="O111">
        <f t="shared" si="96"/>
        <v>72</v>
      </c>
      <c r="P111" s="15">
        <f t="shared" si="72"/>
        <v>0.16666666666666666</v>
      </c>
      <c r="Q111" s="16">
        <f t="shared" si="73"/>
        <v>0.83333333333333337</v>
      </c>
      <c r="R111" s="16">
        <f t="shared" si="74"/>
        <v>21.276595744680851</v>
      </c>
      <c r="S111" s="17">
        <f t="shared" si="75"/>
        <v>60.638297872340424</v>
      </c>
      <c r="T111" s="15">
        <f t="shared" si="76"/>
        <v>0.19861111111111113</v>
      </c>
      <c r="U111" s="16">
        <f t="shared" si="77"/>
        <v>0.80138888888888893</v>
      </c>
      <c r="V111" s="16">
        <f t="shared" si="78"/>
        <v>24.382683215130029</v>
      </c>
      <c r="W111" s="17">
        <f t="shared" si="79"/>
        <v>62.191341607565015</v>
      </c>
      <c r="X111" s="15">
        <f t="shared" si="80"/>
        <v>0.22222222222222221</v>
      </c>
      <c r="Y111" s="16">
        <f t="shared" si="81"/>
        <v>0.77777777777777779</v>
      </c>
      <c r="Z111" s="16">
        <f t="shared" si="82"/>
        <v>26.477541371158395</v>
      </c>
      <c r="AA111" s="17">
        <f t="shared" si="83"/>
        <v>63.238770685579198</v>
      </c>
      <c r="AC111">
        <v>50</v>
      </c>
      <c r="AD111">
        <f t="shared" si="97"/>
        <v>16</v>
      </c>
      <c r="AE111" s="15">
        <f t="shared" si="84"/>
        <v>0.5</v>
      </c>
      <c r="AF111" s="16">
        <f t="shared" si="85"/>
        <v>0.5</v>
      </c>
      <c r="AG111" s="16">
        <f t="shared" si="86"/>
        <v>17.021276595744681</v>
      </c>
      <c r="AH111" s="17">
        <f t="shared" si="87"/>
        <v>58.51063829787234</v>
      </c>
      <c r="AI111" s="15">
        <f t="shared" si="88"/>
        <v>0.33333333333333331</v>
      </c>
      <c r="AJ111" s="16">
        <f t="shared" si="89"/>
        <v>0.66666666666666674</v>
      </c>
      <c r="AK111" s="16">
        <f t="shared" si="90"/>
        <v>22.695035460992909</v>
      </c>
      <c r="AL111" s="17">
        <f t="shared" si="91"/>
        <v>61.347517730496456</v>
      </c>
      <c r="AM111" s="15">
        <f t="shared" si="92"/>
        <v>0.22222222222222221</v>
      </c>
      <c r="AN111" s="16">
        <f t="shared" si="93"/>
        <v>0.77777777777777779</v>
      </c>
      <c r="AO111" s="16">
        <f t="shared" si="94"/>
        <v>26.477541371158395</v>
      </c>
      <c r="AP111" s="17">
        <f t="shared" si="95"/>
        <v>63.238770685579198</v>
      </c>
    </row>
    <row r="112" spans="1:42">
      <c r="A112"/>
      <c r="B112"/>
      <c r="C112"/>
    </row>
    <row r="113" spans="1:5" ht="15.75" thickBot="1">
      <c r="A113"/>
      <c r="B113"/>
      <c r="C113"/>
    </row>
    <row r="114" spans="1:5">
      <c r="A114" s="286" t="s">
        <v>143</v>
      </c>
      <c r="B114" s="287"/>
      <c r="C114" s="288"/>
    </row>
    <row r="115" spans="1:5">
      <c r="A115" s="73" t="s">
        <v>144</v>
      </c>
      <c r="B115" s="47">
        <f>IF(Design_Converter!B88=Lists!A2,0,1)</f>
        <v>1</v>
      </c>
      <c r="C115" s="42"/>
      <c r="E115" s="36" t="s">
        <v>184</v>
      </c>
    </row>
    <row r="116" spans="1:5">
      <c r="A116" s="73" t="s">
        <v>148</v>
      </c>
      <c r="B116" s="47">
        <f>Design_Converter!B89</f>
        <v>7.5</v>
      </c>
      <c r="C116" s="42" t="s">
        <v>1</v>
      </c>
    </row>
    <row r="117" spans="1:5">
      <c r="A117" s="73" t="s">
        <v>149</v>
      </c>
      <c r="B117" s="47">
        <f>Design_Converter!B90</f>
        <v>49.9</v>
      </c>
      <c r="C117" s="223" t="s">
        <v>95</v>
      </c>
    </row>
    <row r="118" spans="1:5">
      <c r="A118" s="73" t="s">
        <v>150</v>
      </c>
      <c r="B118" s="48">
        <f>((B116-Constants!C11)/(Constants!C11))*B117</f>
        <v>99.8</v>
      </c>
      <c r="C118" s="223" t="s">
        <v>95</v>
      </c>
    </row>
    <row r="119" spans="1:5">
      <c r="A119" s="73" t="s">
        <v>151</v>
      </c>
      <c r="B119" s="47">
        <f>Design_Converter!B92</f>
        <v>100</v>
      </c>
      <c r="C119" s="223" t="s">
        <v>95</v>
      </c>
    </row>
    <row r="120" spans="1:5">
      <c r="A120" s="73" t="s">
        <v>200</v>
      </c>
      <c r="B120" s="47">
        <f>IF(Design_Converter!B93=Lists!C2,0,1)</f>
        <v>0</v>
      </c>
      <c r="C120" s="42"/>
      <c r="E120" s="36" t="s">
        <v>199</v>
      </c>
    </row>
    <row r="121" spans="1:5">
      <c r="A121" s="73" t="s">
        <v>202</v>
      </c>
      <c r="B121" s="47">
        <f>Design_Converter!B94</f>
        <v>4</v>
      </c>
      <c r="C121" s="215" t="s">
        <v>1</v>
      </c>
    </row>
    <row r="122" spans="1:5">
      <c r="A122" s="73" t="s">
        <v>203</v>
      </c>
      <c r="B122" s="48">
        <f>((B121/Constants!C13)-(B119*1000))/(1+(B119/B117))/1000</f>
        <v>19.973315543695797</v>
      </c>
      <c r="C122" s="223" t="s">
        <v>95</v>
      </c>
    </row>
    <row r="123" spans="1:5">
      <c r="A123" s="73" t="s">
        <v>204</v>
      </c>
      <c r="B123" s="47">
        <f>Design_Converter!B96</f>
        <v>20</v>
      </c>
      <c r="C123" s="223" t="s">
        <v>95</v>
      </c>
    </row>
    <row r="124" spans="1:5">
      <c r="A124" s="6" t="s">
        <v>153</v>
      </c>
      <c r="B124" s="48">
        <f>IF(B120=0,Constants!C13*Calculations!B119*1000,((B119*1000)+(B123*1000)*(1+(B119/B117)))*Constants!C13)</f>
        <v>2.4999999999999996</v>
      </c>
      <c r="C124" s="223" t="s">
        <v>1</v>
      </c>
    </row>
    <row r="125" spans="1:5">
      <c r="A125" s="6" t="s">
        <v>205</v>
      </c>
      <c r="B125" s="48">
        <f>Constants!C11*((Calculations!B117+Calculations!B119)/Calculations!B117)</f>
        <v>7.5100200400801604</v>
      </c>
      <c r="C125" s="223" t="s">
        <v>1</v>
      </c>
    </row>
    <row r="126" spans="1:5">
      <c r="A126" s="6" t="s">
        <v>206</v>
      </c>
      <c r="B126" s="48">
        <f>B125-B124</f>
        <v>5.0100200400801604</v>
      </c>
      <c r="C126" s="224" t="s">
        <v>1</v>
      </c>
    </row>
    <row r="127" spans="1:5" ht="15.75" thickBot="1">
      <c r="A127" s="216" t="s">
        <v>152</v>
      </c>
      <c r="B127" s="209">
        <f>Constants!C12*(Calculations!B117+Calculations!B119)/Calculations!B117</f>
        <v>3.7550100200400802</v>
      </c>
      <c r="C127" s="225" t="s">
        <v>1</v>
      </c>
    </row>
    <row r="128" spans="1:5" ht="15.75" thickBot="1">
      <c r="A128" s="220"/>
      <c r="B128" s="226"/>
      <c r="C128" s="227"/>
    </row>
    <row r="129" spans="1:42">
      <c r="A129" s="286" t="s">
        <v>481</v>
      </c>
      <c r="B129" s="287"/>
      <c r="C129" s="288"/>
    </row>
    <row r="130" spans="1:42">
      <c r="A130" s="73" t="s">
        <v>486</v>
      </c>
      <c r="B130" s="47">
        <f>Design_Converter!B105</f>
        <v>24</v>
      </c>
      <c r="C130" s="42" t="s">
        <v>1</v>
      </c>
    </row>
    <row r="131" spans="1:42">
      <c r="A131" s="73" t="s">
        <v>482</v>
      </c>
      <c r="B131" s="48">
        <f>Constants!C18/1</f>
        <v>1</v>
      </c>
      <c r="C131" s="42" t="s">
        <v>95</v>
      </c>
    </row>
    <row r="132" spans="1:42">
      <c r="A132" s="73" t="s">
        <v>483</v>
      </c>
      <c r="B132" s="47">
        <f>Design_Converter!B107</f>
        <v>1</v>
      </c>
      <c r="C132" s="42" t="s">
        <v>95</v>
      </c>
    </row>
    <row r="133" spans="1:42">
      <c r="A133" s="73" t="s">
        <v>484</v>
      </c>
      <c r="B133" s="48">
        <f>(B130-Constants!C18)/Constants!C18*B132</f>
        <v>23</v>
      </c>
      <c r="C133" s="42" t="s">
        <v>95</v>
      </c>
    </row>
    <row r="134" spans="1:42">
      <c r="A134" s="73" t="s">
        <v>485</v>
      </c>
      <c r="B134" s="47">
        <f>Design_Converter!B109</f>
        <v>23</v>
      </c>
      <c r="C134" s="42" t="s">
        <v>95</v>
      </c>
    </row>
    <row r="135" spans="1:42" ht="15.75" thickBot="1">
      <c r="A135" s="229" t="s">
        <v>487</v>
      </c>
      <c r="B135" s="209">
        <f>(B134+B132)/B132*Constants!C18</f>
        <v>24</v>
      </c>
      <c r="C135" s="75" t="s">
        <v>1</v>
      </c>
      <c r="N135" s="23"/>
      <c r="O135" s="23"/>
      <c r="P135" s="23"/>
      <c r="Q135" s="23"/>
      <c r="R135" s="23"/>
      <c r="S135" s="23"/>
      <c r="T135" s="23"/>
      <c r="U135" s="23"/>
      <c r="V135" s="23"/>
      <c r="W135" s="23"/>
      <c r="X135" s="23"/>
      <c r="Y135" s="23"/>
      <c r="Z135" s="23"/>
      <c r="AA135" s="23"/>
      <c r="AC135" s="23"/>
      <c r="AD135" s="23"/>
      <c r="AE135" s="23"/>
      <c r="AF135" s="23"/>
      <c r="AG135" s="23"/>
      <c r="AH135" s="23"/>
      <c r="AI135" s="23"/>
      <c r="AJ135" s="23"/>
      <c r="AK135" s="23"/>
      <c r="AL135" s="23"/>
      <c r="AM135" s="23"/>
      <c r="AN135" s="23"/>
      <c r="AO135" s="23"/>
      <c r="AP135" s="23"/>
    </row>
    <row r="137" spans="1:42" ht="15.75" customHeight="1" thickBot="1"/>
    <row r="138" spans="1:42">
      <c r="A138" s="286" t="s">
        <v>545</v>
      </c>
      <c r="B138" s="287"/>
      <c r="C138" s="288"/>
    </row>
    <row r="139" spans="1:42">
      <c r="A139" s="73" t="s">
        <v>175</v>
      </c>
      <c r="B139" s="47">
        <f>Design_Converter!B116</f>
        <v>3</v>
      </c>
      <c r="C139" s="42" t="s">
        <v>1</v>
      </c>
      <c r="D139" s="36">
        <f>IF(B139&gt;Constants!C48,1,0)</f>
        <v>0</v>
      </c>
      <c r="E139" s="36" t="s">
        <v>433</v>
      </c>
    </row>
    <row r="140" spans="1:42" s="23" customFormat="1">
      <c r="A140" s="73" t="s">
        <v>176</v>
      </c>
      <c r="B140" s="52">
        <f>(B139/((Constants!C6/Constants!C16)+(Constants!C15)))/1000</f>
        <v>19.999999999999996</v>
      </c>
      <c r="C140" s="223" t="s">
        <v>95</v>
      </c>
      <c r="D140" s="36"/>
      <c r="E140" s="36"/>
      <c r="F140"/>
      <c r="G140"/>
      <c r="H140"/>
      <c r="N140"/>
      <c r="O140"/>
      <c r="P140"/>
      <c r="Q140"/>
      <c r="R140"/>
      <c r="S140"/>
      <c r="T140"/>
      <c r="U140"/>
      <c r="V140"/>
      <c r="W140"/>
      <c r="X140"/>
      <c r="Y140"/>
      <c r="Z140"/>
      <c r="AA140"/>
      <c r="AB140"/>
      <c r="AC140"/>
      <c r="AD140"/>
      <c r="AE140"/>
      <c r="AF140"/>
      <c r="AG140"/>
      <c r="AH140"/>
      <c r="AI140"/>
      <c r="AJ140"/>
      <c r="AK140"/>
      <c r="AL140"/>
      <c r="AM140"/>
      <c r="AN140"/>
      <c r="AO140"/>
      <c r="AP140"/>
    </row>
    <row r="141" spans="1:42">
      <c r="A141" s="73" t="s">
        <v>158</v>
      </c>
      <c r="B141" s="57">
        <f>Design_Converter!B118</f>
        <v>20</v>
      </c>
      <c r="C141" s="223" t="s">
        <v>95</v>
      </c>
    </row>
    <row r="142" spans="1:42">
      <c r="A142" s="73" t="s">
        <v>177</v>
      </c>
      <c r="B142" s="48">
        <f>((Constants!C6/Constants!C16)+(Constants!C15))*B141*1000</f>
        <v>3</v>
      </c>
      <c r="C142" s="42" t="s">
        <v>1</v>
      </c>
      <c r="D142" s="36">
        <f>IF(B142&gt;Constants!C48,1,0)</f>
        <v>0</v>
      </c>
      <c r="E142" s="36" t="s">
        <v>433</v>
      </c>
    </row>
    <row r="143" spans="1:42">
      <c r="A143" s="73" t="s">
        <v>178</v>
      </c>
      <c r="B143" s="48">
        <f>(Constants!C15)*B141*1000</f>
        <v>1</v>
      </c>
      <c r="C143" s="215" t="s">
        <v>1</v>
      </c>
    </row>
    <row r="144" spans="1:42">
      <c r="A144" s="73" t="s">
        <v>179</v>
      </c>
      <c r="B144" s="52">
        <f>((100*10^-6)/(B141*1000))*(10^9)</f>
        <v>4.9999999999999991</v>
      </c>
      <c r="C144" s="215" t="s">
        <v>40</v>
      </c>
      <c r="E144" s="36" t="s">
        <v>181</v>
      </c>
    </row>
    <row r="145" spans="1:8">
      <c r="A145" s="73" t="s">
        <v>180</v>
      </c>
      <c r="B145" s="47">
        <f>Design_Converter!B122</f>
        <v>4.7</v>
      </c>
      <c r="C145" s="215" t="s">
        <v>40</v>
      </c>
    </row>
    <row r="146" spans="1:8">
      <c r="A146" s="73" t="s">
        <v>182</v>
      </c>
      <c r="B146" s="55">
        <f>(1/(2*PI()*B141*1000*(B145*10^-9)))*(1/1000)</f>
        <v>1.6931376924669714</v>
      </c>
      <c r="C146" s="215" t="s">
        <v>3</v>
      </c>
    </row>
    <row r="147" spans="1:8" ht="15.75" thickBot="1">
      <c r="A147" s="74" t="s">
        <v>183</v>
      </c>
      <c r="B147" s="234">
        <f>((B69*Rcs/(Constants!C16))*(B141*1000)*(10^(-(LOG10(Fsw/(B146*1000))))))*1000</f>
        <v>16.513295998007361</v>
      </c>
      <c r="C147" s="218" t="s">
        <v>68</v>
      </c>
    </row>
    <row r="149" spans="1:8" ht="15.75" thickBot="1"/>
    <row r="150" spans="1:8">
      <c r="A150" s="286" t="s">
        <v>186</v>
      </c>
      <c r="B150" s="287"/>
      <c r="C150" s="288"/>
    </row>
    <row r="151" spans="1:8">
      <c r="A151" s="73" t="s">
        <v>189</v>
      </c>
      <c r="B151" s="47">
        <f>IF(Design_Converter!B129=Lists!G2,0,1)</f>
        <v>1</v>
      </c>
      <c r="C151" s="42"/>
      <c r="E151" s="36" t="s">
        <v>190</v>
      </c>
    </row>
    <row r="152" spans="1:8">
      <c r="A152" s="73" t="s">
        <v>191</v>
      </c>
      <c r="B152" s="47">
        <f>Design_Converter!B130*(10^-9)</f>
        <v>5.0000000000000004E-8</v>
      </c>
      <c r="C152" s="42" t="s">
        <v>23</v>
      </c>
      <c r="D152" s="36">
        <f>IF(B152&lt;Constants!C31,1,IF(B152&gt;Constants!C32,1,0))</f>
        <v>0</v>
      </c>
      <c r="E152" s="36" t="s">
        <v>207</v>
      </c>
    </row>
    <row r="153" spans="1:8">
      <c r="A153" s="73" t="s">
        <v>193</v>
      </c>
      <c r="B153" s="48">
        <f>(B152-Constants!C27)/(Constants!C26*1000)</f>
        <v>19.047619047619051</v>
      </c>
      <c r="C153" s="223" t="s">
        <v>95</v>
      </c>
    </row>
    <row r="154" spans="1:8">
      <c r="A154" s="73" t="s">
        <v>194</v>
      </c>
      <c r="B154" s="47">
        <f>Design_Converter!B132</f>
        <v>20</v>
      </c>
      <c r="C154" s="223" t="s">
        <v>95</v>
      </c>
    </row>
    <row r="155" spans="1:8">
      <c r="A155" s="73" t="s">
        <v>195</v>
      </c>
      <c r="B155" s="48">
        <f>IF(B151=1,(((B154*1000)*Constants!C26)+Constants!C27)*(10^9),(Constants!C29*(10^9)))</f>
        <v>52.499999999999993</v>
      </c>
      <c r="C155" s="42" t="s">
        <v>93</v>
      </c>
      <c r="D155" s="36">
        <f>IF(B155*0.000000001&lt;Constants!C31,1,IF(B155*0.000000001&gt;Constants!C32,1,0))</f>
        <v>0</v>
      </c>
    </row>
    <row r="156" spans="1:8" ht="15.75" thickBot="1">
      <c r="A156" s="74" t="s">
        <v>196</v>
      </c>
      <c r="B156" s="209">
        <f>IF(B151=1,(((B154*1000)*Constants!C26)+Constants!C27)*(10^9),(Constants!C30*(10^9)))</f>
        <v>52.499999999999993</v>
      </c>
      <c r="C156" s="75" t="s">
        <v>93</v>
      </c>
      <c r="D156" s="36">
        <f>IF(B156*0.000000001&lt;Constants!C31,1,IF(B156*0.000000001&gt;Constants!C32,1,0))</f>
        <v>0</v>
      </c>
      <c r="H156" s="23"/>
    </row>
    <row r="157" spans="1:8">
      <c r="A157" s="45"/>
      <c r="B157" s="239"/>
      <c r="C157" s="45"/>
      <c r="H157" s="23"/>
    </row>
    <row r="158" spans="1:8" ht="15.75" thickBot="1">
      <c r="A158" s="45"/>
      <c r="B158" s="239"/>
      <c r="C158" s="45"/>
      <c r="H158" s="23"/>
    </row>
    <row r="159" spans="1:8">
      <c r="A159" s="286" t="s">
        <v>491</v>
      </c>
      <c r="B159" s="287"/>
      <c r="C159" s="288"/>
      <c r="H159" s="23"/>
    </row>
    <row r="160" spans="1:8" ht="17.25">
      <c r="A160" s="73" t="s">
        <v>570</v>
      </c>
      <c r="B160" s="57" t="str">
        <f>Design_Converter!B138</f>
        <v>0x20</v>
      </c>
      <c r="C160" s="42"/>
      <c r="H160" s="23"/>
    </row>
    <row r="161" spans="1:8">
      <c r="A161" s="73" t="s">
        <v>571</v>
      </c>
      <c r="B161" s="57" t="str">
        <f>Design_Converter!B139</f>
        <v>I_LV</v>
      </c>
      <c r="C161" s="42"/>
      <c r="H161" s="23"/>
    </row>
    <row r="162" spans="1:8" ht="15.75" thickBot="1">
      <c r="A162" s="241" t="s">
        <v>193</v>
      </c>
      <c r="B162" s="242" t="str">
        <f>LOOKUP(2,1/(Lists!M2:M17=Calculations!B160)/(Lists!N2:N17=Calculations!B161),Lists!O2:O17)</f>
        <v>&lt;0.1</v>
      </c>
      <c r="C162" s="243" t="s">
        <v>95</v>
      </c>
      <c r="H162" s="23"/>
    </row>
    <row r="163" spans="1:8">
      <c r="A163" s="286" t="s">
        <v>510</v>
      </c>
      <c r="B163" s="287"/>
      <c r="C163" s="288"/>
      <c r="H163" s="23"/>
    </row>
    <row r="164" spans="1:8">
      <c r="A164" s="73" t="s">
        <v>572</v>
      </c>
      <c r="B164" s="48" t="str">
        <f>IF(MOD(np,3)=0,"240°","180°")</f>
        <v>180°</v>
      </c>
      <c r="C164" s="42"/>
      <c r="H164" s="23"/>
    </row>
    <row r="165" spans="1:8" ht="15.75" thickBot="1">
      <c r="A165" s="229" t="s">
        <v>520</v>
      </c>
      <c r="B165" s="209" t="str">
        <f>VLOOKUP(B164,Lists!Q2:R3,2)</f>
        <v>HIGH</v>
      </c>
      <c r="C165" s="240"/>
      <c r="H165" s="23"/>
    </row>
    <row r="167" spans="1:8">
      <c r="A167" s="300" t="s">
        <v>212</v>
      </c>
      <c r="B167" s="300"/>
      <c r="C167" s="300"/>
    </row>
    <row r="168" spans="1:8">
      <c r="A168" s="33" t="s">
        <v>210</v>
      </c>
      <c r="B168" s="47">
        <f>Design_Converter!B148</f>
        <v>10</v>
      </c>
      <c r="C168" s="62" t="s">
        <v>211</v>
      </c>
    </row>
    <row r="169" spans="1:8">
      <c r="A169" s="33" t="s">
        <v>214</v>
      </c>
      <c r="B169" s="60"/>
      <c r="C169" s="62" t="s">
        <v>215</v>
      </c>
    </row>
    <row r="170" spans="1:8">
      <c r="A170" s="33" t="s">
        <v>213</v>
      </c>
      <c r="B170" s="60">
        <f>(Rcs+Rs)/(2*PI()*Lm*1000)</f>
        <v>0.37249029234273373</v>
      </c>
      <c r="C170" s="62" t="s">
        <v>3</v>
      </c>
    </row>
    <row r="171" spans="1:8">
      <c r="A171" s="33" t="s">
        <v>216</v>
      </c>
      <c r="B171" s="58">
        <f>1/(Kff*(Rcs+Rs))</f>
        <v>2909.0909090909095</v>
      </c>
      <c r="C171" s="62" t="s">
        <v>42</v>
      </c>
      <c r="E171" s="36" t="s">
        <v>351</v>
      </c>
    </row>
    <row r="172" spans="1:8">
      <c r="A172" s="33" t="s">
        <v>217</v>
      </c>
      <c r="B172" s="51">
        <f>Fsw/6.28</f>
        <v>15923.566878980891</v>
      </c>
      <c r="C172" s="62" t="s">
        <v>83</v>
      </c>
    </row>
    <row r="173" spans="1:8">
      <c r="A173" s="33" t="s">
        <v>218</v>
      </c>
      <c r="B173" s="47">
        <f>Design_Converter!B150*1000</f>
        <v>15000</v>
      </c>
      <c r="C173" s="62" t="s">
        <v>83</v>
      </c>
      <c r="E173" s="36" t="s">
        <v>447</v>
      </c>
    </row>
    <row r="174" spans="1:8">
      <c r="A174" s="33" t="s">
        <v>225</v>
      </c>
      <c r="B174" s="58">
        <f>B170*1000</f>
        <v>372.49029234273371</v>
      </c>
      <c r="C174" s="62" t="s">
        <v>83</v>
      </c>
    </row>
    <row r="175" spans="1:8">
      <c r="A175" s="33" t="s">
        <v>352</v>
      </c>
      <c r="B175" s="51">
        <f>IF(B173*10&gt;=Fsw/2,Fsw/2,B173*10)</f>
        <v>50000</v>
      </c>
      <c r="C175" s="62" t="s">
        <v>83</v>
      </c>
    </row>
    <row r="176" spans="1:8">
      <c r="A176" s="33" t="s">
        <v>219</v>
      </c>
      <c r="B176" s="60">
        <f>((Kff/(Rcs*gm*Acs))*IMABS(COMPLEX(Rcs+Rs,2*PI()*B173*Lm)))/1000</f>
        <v>3.4617275225047668</v>
      </c>
      <c r="C176" s="63" t="s">
        <v>95</v>
      </c>
    </row>
    <row r="177" spans="1:7">
      <c r="A177" s="33" t="s">
        <v>220</v>
      </c>
      <c r="B177" s="47">
        <f>Design_Converter!B152</f>
        <v>3.6</v>
      </c>
      <c r="C177" s="63" t="s">
        <v>95</v>
      </c>
    </row>
    <row r="178" spans="1:7">
      <c r="A178" s="33" t="s">
        <v>221</v>
      </c>
      <c r="B178" s="58">
        <f>1/(2*PI()*(B173)*0.2*B177*1000)*(10^9)</f>
        <v>14.736568804805122</v>
      </c>
      <c r="C178" s="62" t="s">
        <v>40</v>
      </c>
      <c r="E178" s="36" t="s">
        <v>446</v>
      </c>
    </row>
    <row r="179" spans="1:7">
      <c r="A179" s="33" t="s">
        <v>222</v>
      </c>
      <c r="B179" s="47">
        <f>Design_Converter!B154</f>
        <v>100</v>
      </c>
      <c r="C179" s="33" t="s">
        <v>40</v>
      </c>
      <c r="D179" s="37"/>
      <c r="F179" s="23"/>
      <c r="G179" s="23"/>
    </row>
    <row r="180" spans="1:7">
      <c r="A180" s="33" t="s">
        <v>223</v>
      </c>
      <c r="B180" s="65">
        <f>1/(2*PI()*(B173)*3*B177*1000)*(10^9)</f>
        <v>0.98243792032034138</v>
      </c>
      <c r="C180" s="64" t="s">
        <v>40</v>
      </c>
      <c r="E180" s="36" t="s">
        <v>448</v>
      </c>
    </row>
    <row r="181" spans="1:7">
      <c r="A181" s="33" t="s">
        <v>224</v>
      </c>
      <c r="B181" s="47">
        <f>Design_Converter!B156</f>
        <v>1</v>
      </c>
      <c r="C181" s="33" t="s">
        <v>40</v>
      </c>
    </row>
    <row r="182" spans="1:7">
      <c r="A182" s="33" t="s">
        <v>226</v>
      </c>
      <c r="B182" s="60">
        <f>(1/(2*PI()*B177*1000*B179*(10^-9)))/1000</f>
        <v>0.44209706414415367</v>
      </c>
      <c r="C182" s="33" t="s">
        <v>3</v>
      </c>
    </row>
    <row r="183" spans="1:7">
      <c r="A183" s="33" t="s">
        <v>227</v>
      </c>
      <c r="B183" s="58">
        <f>(1/(2*PI()*B177*1000*B181*(10^-9)))/1000</f>
        <v>44.209706414415379</v>
      </c>
      <c r="C183" s="33" t="s">
        <v>3</v>
      </c>
    </row>
    <row r="189" spans="1:7">
      <c r="A189" s="300" t="s">
        <v>420</v>
      </c>
      <c r="B189" s="300"/>
      <c r="C189" s="300"/>
    </row>
    <row r="190" spans="1:7">
      <c r="A190" s="179" t="s">
        <v>324</v>
      </c>
      <c r="B190" s="112">
        <f>B98</f>
        <v>2</v>
      </c>
      <c r="C190" s="33" t="s">
        <v>1</v>
      </c>
    </row>
    <row r="191" spans="1:7">
      <c r="A191" s="179" t="s">
        <v>316</v>
      </c>
      <c r="B191" s="47">
        <f>Design_Converter!B171*1000</f>
        <v>4420</v>
      </c>
      <c r="C191" s="33" t="s">
        <v>53</v>
      </c>
    </row>
    <row r="192" spans="1:7">
      <c r="A192" s="179" t="s">
        <v>325</v>
      </c>
      <c r="B192" s="51">
        <f>(B191*V12_Nom/B190)-B191</f>
        <v>27183</v>
      </c>
      <c r="C192" s="33" t="s">
        <v>53</v>
      </c>
    </row>
    <row r="193" spans="1:5">
      <c r="A193" s="179" t="s">
        <v>315</v>
      </c>
      <c r="B193" s="47">
        <f>Design_Converter!B173*1000</f>
        <v>26700</v>
      </c>
      <c r="C193" s="33" t="s">
        <v>53</v>
      </c>
    </row>
    <row r="194" spans="1:5">
      <c r="A194" s="179" t="s">
        <v>308</v>
      </c>
      <c r="B194" s="60">
        <f>V12_Nom/(I_Channel_Design*np)</f>
        <v>0.23833333333333334</v>
      </c>
      <c r="C194" s="33" t="s">
        <v>53</v>
      </c>
    </row>
    <row r="195" spans="1:5">
      <c r="A195" s="179" t="s">
        <v>309</v>
      </c>
      <c r="B195" s="58">
        <f>1/(2*PI()*Zo_Buck_Cout*B194)</f>
        <v>834.72872250994067</v>
      </c>
      <c r="C195" s="33" t="s">
        <v>83</v>
      </c>
      <c r="E195" s="36" t="s">
        <v>328</v>
      </c>
    </row>
    <row r="196" spans="1:5">
      <c r="A196" s="33" t="s">
        <v>329</v>
      </c>
      <c r="B196" s="110">
        <f>1/(2*PI()*Zo_Buck_Resr*Zo_Buck_Cout)</f>
        <v>19894.367886486914</v>
      </c>
      <c r="C196" s="33" t="s">
        <v>83</v>
      </c>
      <c r="E196" s="36" t="s">
        <v>332</v>
      </c>
    </row>
    <row r="197" spans="1:5">
      <c r="A197" s="178" t="s">
        <v>330</v>
      </c>
      <c r="B197" s="51">
        <f>B173/10</f>
        <v>1500</v>
      </c>
      <c r="C197" s="33" t="s">
        <v>83</v>
      </c>
      <c r="E197" s="36" t="s">
        <v>333</v>
      </c>
    </row>
    <row r="198" spans="1:5">
      <c r="A198" s="179" t="s">
        <v>331</v>
      </c>
      <c r="B198" s="51">
        <f>Design_Converter!B175*1000</f>
        <v>7000</v>
      </c>
      <c r="C198" s="33" t="s">
        <v>83</v>
      </c>
    </row>
    <row r="199" spans="1:5">
      <c r="A199" s="297" t="s">
        <v>302</v>
      </c>
      <c r="B199" s="298"/>
      <c r="C199" s="299"/>
      <c r="D199"/>
    </row>
    <row r="200" spans="1:5">
      <c r="A200" s="33" t="s">
        <v>306</v>
      </c>
      <c r="B200" s="60">
        <f>10^(Compensation!S134/20)</f>
        <v>1.3795055182014053</v>
      </c>
      <c r="C200" s="33" t="s">
        <v>42</v>
      </c>
      <c r="D200"/>
      <c r="E200"/>
    </row>
    <row r="201" spans="1:5">
      <c r="A201" s="33" t="s">
        <v>312</v>
      </c>
      <c r="B201" s="58">
        <f>B195</f>
        <v>834.72872250994067</v>
      </c>
      <c r="C201" s="33" t="s">
        <v>83</v>
      </c>
      <c r="D201"/>
      <c r="E201"/>
    </row>
    <row r="202" spans="1:5">
      <c r="A202" s="33" t="s">
        <v>314</v>
      </c>
      <c r="B202" s="110">
        <f>IF(B196&gt;(Fsw/2),Fsw/2,B196)</f>
        <v>19894.367886486914</v>
      </c>
      <c r="C202" s="33" t="s">
        <v>83</v>
      </c>
      <c r="D202"/>
      <c r="E202"/>
    </row>
    <row r="203" spans="1:5">
      <c r="A203" s="33" t="s">
        <v>311</v>
      </c>
      <c r="B203" s="60">
        <f>((B193*B198)/(B201*B200))*SQRT(((1+((B198^2)/(B202^2)))/(1+((B198^2)/(B201^2)))))</f>
        <v>20373.569120097516</v>
      </c>
      <c r="C203" s="111" t="s">
        <v>53</v>
      </c>
      <c r="D203"/>
      <c r="E203"/>
    </row>
    <row r="204" spans="1:5">
      <c r="A204" s="179" t="s">
        <v>317</v>
      </c>
      <c r="B204" s="112">
        <f>Design_Converter!B177*1000</f>
        <v>25000</v>
      </c>
      <c r="C204" s="33" t="s">
        <v>53</v>
      </c>
      <c r="D204"/>
      <c r="E204"/>
    </row>
    <row r="205" spans="1:5">
      <c r="A205" s="33" t="s">
        <v>319</v>
      </c>
      <c r="B205" s="51">
        <f>1/(2*PI()*B201*B203)</f>
        <v>9.3585304343451252E-9</v>
      </c>
      <c r="C205" s="33" t="s">
        <v>322</v>
      </c>
      <c r="D205"/>
      <c r="E205"/>
    </row>
    <row r="206" spans="1:5">
      <c r="A206" s="179" t="s">
        <v>318</v>
      </c>
      <c r="B206" s="47">
        <f>Design_Converter!B179*(10^-9)</f>
        <v>1E-8</v>
      </c>
      <c r="C206" s="33" t="s">
        <v>322</v>
      </c>
      <c r="D206"/>
      <c r="E206"/>
    </row>
    <row r="207" spans="1:5">
      <c r="A207" s="33" t="s">
        <v>320</v>
      </c>
      <c r="B207" s="51">
        <f>1/(2*PI()*B202*B203)</f>
        <v>3.9266561262986549E-10</v>
      </c>
      <c r="C207" s="33"/>
      <c r="D207"/>
      <c r="E207"/>
    </row>
    <row r="208" spans="1:5">
      <c r="A208" s="179" t="s">
        <v>321</v>
      </c>
      <c r="B208" s="47">
        <f>Design_Converter!B181*(10^-12)</f>
        <v>1E-10</v>
      </c>
      <c r="C208" s="33" t="s">
        <v>322</v>
      </c>
      <c r="D208"/>
      <c r="E208"/>
    </row>
    <row r="209" spans="1:5">
      <c r="A209" s="33" t="s">
        <v>326</v>
      </c>
      <c r="B209" s="60">
        <f>1/(2*PI()*B204*B206)/1000</f>
        <v>0.63661977236758138</v>
      </c>
      <c r="C209" s="33" t="s">
        <v>3</v>
      </c>
      <c r="D209"/>
      <c r="E209"/>
    </row>
    <row r="210" spans="1:5">
      <c r="A210" s="33" t="s">
        <v>327</v>
      </c>
      <c r="B210" s="60">
        <f>1/(2*PI()*B204*B208)/1000</f>
        <v>63.661977236758148</v>
      </c>
      <c r="C210" s="33" t="s">
        <v>3</v>
      </c>
      <c r="D210"/>
      <c r="E210"/>
    </row>
    <row r="211" spans="1:5">
      <c r="A211" s="45"/>
      <c r="B211" s="172"/>
      <c r="C211" s="45"/>
      <c r="D211"/>
      <c r="E211"/>
    </row>
    <row r="212" spans="1:5">
      <c r="A212" s="300" t="s">
        <v>419</v>
      </c>
      <c r="B212" s="300"/>
      <c r="C212" s="300"/>
      <c r="D212"/>
      <c r="E212"/>
    </row>
    <row r="213" spans="1:5">
      <c r="A213" s="183" t="s">
        <v>389</v>
      </c>
      <c r="B213" s="57">
        <f>B78</f>
        <v>44</v>
      </c>
      <c r="C213" s="33" t="s">
        <v>4</v>
      </c>
      <c r="D213"/>
      <c r="E213"/>
    </row>
    <row r="214" spans="1:5">
      <c r="A214" s="33" t="s">
        <v>353</v>
      </c>
      <c r="B214" s="51">
        <f>B213*Rcs*Acs+1</f>
        <v>2.76</v>
      </c>
      <c r="C214" s="33" t="s">
        <v>1</v>
      </c>
      <c r="D214"/>
      <c r="E214"/>
    </row>
    <row r="215" spans="1:5">
      <c r="A215" s="173" t="s">
        <v>550</v>
      </c>
      <c r="B215" s="48">
        <f>B214/1</f>
        <v>2.76</v>
      </c>
      <c r="C215" s="33" t="s">
        <v>39</v>
      </c>
      <c r="D215"/>
      <c r="E215"/>
    </row>
    <row r="216" spans="1:5">
      <c r="A216" s="173" t="s">
        <v>551</v>
      </c>
      <c r="B216" s="47">
        <f>Design_Converter!B164</f>
        <v>4.0199999999999996</v>
      </c>
      <c r="C216" s="33" t="s">
        <v>39</v>
      </c>
      <c r="D216"/>
      <c r="E216"/>
    </row>
    <row r="217" spans="1:5">
      <c r="A217" s="173" t="s">
        <v>552</v>
      </c>
      <c r="B217" s="48">
        <f>(4-B214)/B214*B216</f>
        <v>1.8060869565217395</v>
      </c>
      <c r="C217" s="33" t="s">
        <v>39</v>
      </c>
      <c r="D217">
        <f>IF(B217&lt;0,1,0)</f>
        <v>0</v>
      </c>
      <c r="E217"/>
    </row>
    <row r="218" spans="1:5">
      <c r="A218" s="173" t="s">
        <v>553</v>
      </c>
      <c r="B218" s="47">
        <f>Design_Converter!B166</f>
        <v>1</v>
      </c>
      <c r="C218" s="33" t="s">
        <v>39</v>
      </c>
      <c r="D218"/>
      <c r="E218"/>
    </row>
    <row r="219" spans="1:5">
      <c r="A219" s="33" t="s">
        <v>354</v>
      </c>
      <c r="B219" s="174">
        <f>B190/V12_Nom</f>
        <v>0.13986013986013984</v>
      </c>
      <c r="C219" s="33"/>
      <c r="D219"/>
      <c r="E219"/>
    </row>
    <row r="220" spans="1:5">
      <c r="A220" s="33" t="s">
        <v>558</v>
      </c>
      <c r="B220" s="60">
        <f>V12_Nom/(I_Channel_Design*np)</f>
        <v>0.23833333333333334</v>
      </c>
      <c r="C220" s="33" t="s">
        <v>53</v>
      </c>
      <c r="D220"/>
      <c r="E220"/>
    </row>
    <row r="221" spans="1:5">
      <c r="A221" s="33" t="s">
        <v>357</v>
      </c>
      <c r="B221" s="60">
        <f>20*LOG(np*B220/Acs/Rcs)</f>
        <v>21.52309582834874</v>
      </c>
      <c r="C221" s="33" t="s">
        <v>307</v>
      </c>
      <c r="D221"/>
      <c r="E221" t="s">
        <v>559</v>
      </c>
    </row>
    <row r="222" spans="1:5">
      <c r="A222" s="33" t="s">
        <v>355</v>
      </c>
      <c r="B222" s="174">
        <f>1/(2*PI()*Zo_Buck_Cout*(B220+Design_Converter!B60/1000))</f>
        <v>801.11548536188934</v>
      </c>
      <c r="C222" s="33" t="s">
        <v>83</v>
      </c>
      <c r="D222"/>
      <c r="E222"/>
    </row>
    <row r="223" spans="1:5">
      <c r="A223" s="33" t="s">
        <v>356</v>
      </c>
      <c r="B223" s="174">
        <f>B221-20*LOG(B198/B222)</f>
        <v>2.6950375604898227</v>
      </c>
      <c r="C223" s="33" t="s">
        <v>307</v>
      </c>
      <c r="D223"/>
      <c r="E223"/>
    </row>
    <row r="224" spans="1:5">
      <c r="A224" s="33" t="s">
        <v>358</v>
      </c>
      <c r="B224" s="174">
        <f>10^(-B223/20)*B193/1000/(B216/(B216+B218))</f>
        <v>24.447645944247895</v>
      </c>
      <c r="C224" s="33" t="s">
        <v>39</v>
      </c>
      <c r="D224"/>
      <c r="E224"/>
    </row>
    <row r="225" spans="1:5">
      <c r="A225" s="33" t="s">
        <v>359</v>
      </c>
      <c r="B225" s="47">
        <f>Design_Converter!B177</f>
        <v>25</v>
      </c>
      <c r="C225" s="33" t="s">
        <v>39</v>
      </c>
      <c r="D225"/>
      <c r="E225"/>
    </row>
    <row r="226" spans="1:5">
      <c r="A226" s="33" t="s">
        <v>360</v>
      </c>
      <c r="B226" s="174">
        <f>1/(2*PI()*B225*1000*B222)*1000000000</f>
        <v>7.9466666666666654</v>
      </c>
      <c r="C226" s="33" t="s">
        <v>40</v>
      </c>
      <c r="D226"/>
      <c r="E226"/>
    </row>
    <row r="227" spans="1:5">
      <c r="A227" s="33" t="s">
        <v>361</v>
      </c>
      <c r="B227" s="47">
        <f>Design_Converter!B179</f>
        <v>10</v>
      </c>
      <c r="C227" s="33" t="s">
        <v>40</v>
      </c>
      <c r="D227"/>
      <c r="E227"/>
    </row>
    <row r="228" spans="1:5">
      <c r="A228" s="33" t="s">
        <v>362</v>
      </c>
      <c r="B228" s="174">
        <f>MIN(1/(2*PI()*(B198)*5*B225*1000)*(10^12),B227*100)</f>
        <v>181.89136353359467</v>
      </c>
      <c r="C228" s="33" t="s">
        <v>364</v>
      </c>
      <c r="D228"/>
      <c r="E228"/>
    </row>
    <row r="229" spans="1:5">
      <c r="A229" s="33" t="s">
        <v>363</v>
      </c>
      <c r="B229" s="47">
        <f>Design_Converter!B181</f>
        <v>100</v>
      </c>
      <c r="C229" s="33" t="s">
        <v>364</v>
      </c>
      <c r="D229"/>
      <c r="E229"/>
    </row>
    <row r="230" spans="1:5">
      <c r="A230" s="33" t="s">
        <v>326</v>
      </c>
      <c r="B230" s="174">
        <f>1/(2*PI()*B225*1000*B227*10^-9)/1000</f>
        <v>0.63661977236758127</v>
      </c>
      <c r="C230" s="33" t="s">
        <v>3</v>
      </c>
      <c r="D230"/>
      <c r="E230"/>
    </row>
    <row r="231" spans="1:5">
      <c r="A231" s="33" t="s">
        <v>327</v>
      </c>
      <c r="B231" s="174">
        <f>1/(2*PI()*B225*1000*B229*10^-12)/1000</f>
        <v>63.661977236758133</v>
      </c>
      <c r="C231" s="33" t="s">
        <v>3</v>
      </c>
      <c r="D231"/>
      <c r="E231"/>
    </row>
    <row r="232" spans="1:5">
      <c r="A232" s="45"/>
      <c r="B232" s="175"/>
      <c r="C232" s="45"/>
      <c r="E232"/>
    </row>
    <row r="233" spans="1:5">
      <c r="A233" s="300" t="s">
        <v>421</v>
      </c>
      <c r="B233" s="300"/>
      <c r="C233" s="300"/>
    </row>
    <row r="234" spans="1:5">
      <c r="A234" s="179" t="s">
        <v>324</v>
      </c>
      <c r="B234" s="112">
        <f>B98</f>
        <v>2</v>
      </c>
      <c r="C234" s="33" t="s">
        <v>1</v>
      </c>
    </row>
    <row r="235" spans="1:5">
      <c r="A235" s="179" t="s">
        <v>316</v>
      </c>
      <c r="B235" s="47">
        <f>Design_Converter!B188*1000</f>
        <v>2100</v>
      </c>
      <c r="C235" s="33" t="s">
        <v>53</v>
      </c>
    </row>
    <row r="236" spans="1:5">
      <c r="A236" s="179" t="s">
        <v>325</v>
      </c>
      <c r="B236" s="51">
        <f>(B235*V48_Nom/B234)-B235</f>
        <v>48300</v>
      </c>
      <c r="C236" s="33" t="s">
        <v>53</v>
      </c>
    </row>
    <row r="237" spans="1:5">
      <c r="A237" s="179" t="s">
        <v>315</v>
      </c>
      <c r="B237" s="47">
        <f>Design_Converter!B190*1000</f>
        <v>49900</v>
      </c>
      <c r="C237" s="33" t="s">
        <v>53</v>
      </c>
    </row>
    <row r="238" spans="1:5">
      <c r="A238" s="179" t="s">
        <v>308</v>
      </c>
      <c r="B238" s="60">
        <f>V48_Nom/Design_Converter!B27</f>
        <v>2.8235294117647061</v>
      </c>
      <c r="C238" s="33" t="s">
        <v>53</v>
      </c>
      <c r="E238" s="36" t="s">
        <v>304</v>
      </c>
    </row>
    <row r="239" spans="1:5">
      <c r="A239" s="179" t="s">
        <v>299</v>
      </c>
      <c r="B239" s="110">
        <f>2/(((V48_Nom^2)/(V12_Min*B28*np))*(2*PI()*Zo_Boost_Cout))</f>
        <v>165.78639905405765</v>
      </c>
      <c r="C239" s="33" t="s">
        <v>83</v>
      </c>
      <c r="E239" s="36" t="s">
        <v>303</v>
      </c>
    </row>
    <row r="240" spans="1:5">
      <c r="A240" s="179" t="s">
        <v>298</v>
      </c>
      <c r="B240" s="110">
        <f>(((V12_Min/V48_Nom)^2)*B238)/(2*PI()*(Lm/np))</f>
        <v>11951.560182119802</v>
      </c>
      <c r="C240" s="33" t="s">
        <v>83</v>
      </c>
      <c r="E240" s="36" t="s">
        <v>303</v>
      </c>
    </row>
    <row r="241" spans="1:5">
      <c r="A241" s="179" t="s">
        <v>301</v>
      </c>
      <c r="B241" s="60">
        <f>MIN(B240/5, B173/10)</f>
        <v>1500</v>
      </c>
      <c r="C241" s="33" t="s">
        <v>83</v>
      </c>
      <c r="E241" s="36" t="s">
        <v>310</v>
      </c>
    </row>
    <row r="242" spans="1:5">
      <c r="A242" s="179" t="s">
        <v>300</v>
      </c>
      <c r="B242" s="47">
        <f>Design_Converter!B192*1000</f>
        <v>4000</v>
      </c>
      <c r="C242" s="33" t="s">
        <v>83</v>
      </c>
    </row>
    <row r="243" spans="1:5">
      <c r="A243" s="297" t="s">
        <v>302</v>
      </c>
      <c r="B243" s="298"/>
      <c r="C243" s="299"/>
    </row>
    <row r="244" spans="1:5">
      <c r="A244" s="33" t="s">
        <v>306</v>
      </c>
      <c r="B244" s="60">
        <f>10^(Compensation!S224/20)</f>
        <v>0.88456040752725051</v>
      </c>
      <c r="C244" s="33" t="s">
        <v>307</v>
      </c>
      <c r="E244" s="36" t="s">
        <v>313</v>
      </c>
    </row>
    <row r="245" spans="1:5">
      <c r="A245" s="33" t="s">
        <v>312</v>
      </c>
      <c r="B245" s="60">
        <f>2/(2*PI()*B238*Zo_Boost_Cout)</f>
        <v>187.89125226126535</v>
      </c>
      <c r="C245" s="33" t="s">
        <v>83</v>
      </c>
    </row>
    <row r="246" spans="1:5">
      <c r="A246" s="33" t="s">
        <v>314</v>
      </c>
      <c r="B246" s="51">
        <f>Fsw/2</f>
        <v>50000</v>
      </c>
      <c r="C246" s="33" t="s">
        <v>83</v>
      </c>
    </row>
    <row r="247" spans="1:5">
      <c r="A247" s="33" t="s">
        <v>311</v>
      </c>
      <c r="B247" s="60">
        <f>((B237*B242)/(B244*B245))*SQRT((1+((B242/B246)^2))/(1+((B242/B245)^2)))</f>
        <v>56530.101772048285</v>
      </c>
      <c r="C247" s="33" t="s">
        <v>53</v>
      </c>
    </row>
    <row r="248" spans="1:5">
      <c r="A248" s="179" t="s">
        <v>317</v>
      </c>
      <c r="B248" s="47">
        <f>Design_Converter!B194*1000</f>
        <v>75000</v>
      </c>
      <c r="C248" s="33" t="s">
        <v>53</v>
      </c>
      <c r="D248"/>
      <c r="E248"/>
    </row>
    <row r="249" spans="1:5">
      <c r="A249" s="33" t="s">
        <v>319</v>
      </c>
      <c r="B249" s="51">
        <f>1/(2*PI()*B247*B245)</f>
        <v>1.4984208359381479E-8</v>
      </c>
      <c r="C249" s="33" t="s">
        <v>322</v>
      </c>
      <c r="D249"/>
      <c r="E249"/>
    </row>
    <row r="250" spans="1:5">
      <c r="A250" s="179" t="s">
        <v>318</v>
      </c>
      <c r="B250" s="47">
        <f>Design_Converter!B196*(10^-9)</f>
        <v>3.3000000000000004E-8</v>
      </c>
      <c r="C250" s="33" t="s">
        <v>322</v>
      </c>
      <c r="D250"/>
      <c r="E250"/>
    </row>
    <row r="251" spans="1:5">
      <c r="A251" s="33" t="s">
        <v>320</v>
      </c>
      <c r="B251" s="51">
        <f>1/(2*PI()*B247*B246)</f>
        <v>5.6308033455758131E-11</v>
      </c>
      <c r="C251" s="33" t="s">
        <v>322</v>
      </c>
      <c r="D251"/>
      <c r="E251"/>
    </row>
    <row r="252" spans="1:5">
      <c r="A252" s="179" t="s">
        <v>321</v>
      </c>
      <c r="B252" s="47">
        <f>Design_Converter!B198*(10^-12)</f>
        <v>1E-10</v>
      </c>
      <c r="C252" s="33" t="s">
        <v>322</v>
      </c>
      <c r="D252"/>
      <c r="E252"/>
    </row>
    <row r="253" spans="1:5">
      <c r="A253" s="33" t="s">
        <v>326</v>
      </c>
      <c r="B253" s="58">
        <f>1/(2*PI()*B248*B250)</f>
        <v>64.305027511876901</v>
      </c>
      <c r="C253" s="33" t="s">
        <v>83</v>
      </c>
      <c r="D253"/>
      <c r="E253"/>
    </row>
    <row r="254" spans="1:5">
      <c r="A254" s="33" t="s">
        <v>327</v>
      </c>
      <c r="B254" s="110">
        <f>1/(2*PI()*B248*B252)</f>
        <v>21220.65907891938</v>
      </c>
      <c r="C254" s="33" t="s">
        <v>83</v>
      </c>
    </row>
    <row r="255" spans="1:5">
      <c r="D255"/>
      <c r="E255"/>
    </row>
    <row r="256" spans="1:5">
      <c r="A256" s="300" t="s">
        <v>422</v>
      </c>
      <c r="B256" s="300"/>
      <c r="C256" s="300"/>
      <c r="D256"/>
      <c r="E256"/>
    </row>
    <row r="257" spans="1:5">
      <c r="A257" s="173" t="s">
        <v>549</v>
      </c>
      <c r="B257" s="47">
        <f>Design_Converter!B166</f>
        <v>1</v>
      </c>
      <c r="C257" s="33" t="s">
        <v>39</v>
      </c>
      <c r="D257"/>
      <c r="E257"/>
    </row>
    <row r="258" spans="1:5">
      <c r="A258" s="173" t="s">
        <v>551</v>
      </c>
      <c r="B258" s="47">
        <f>Design_Converter!B164</f>
        <v>4.0199999999999996</v>
      </c>
      <c r="C258" s="33" t="s">
        <v>39</v>
      </c>
      <c r="D258"/>
      <c r="E258"/>
    </row>
    <row r="259" spans="1:5">
      <c r="A259" s="33" t="s">
        <v>354</v>
      </c>
      <c r="B259" s="174">
        <f>B234/V48_Nom</f>
        <v>4.1666666666666664E-2</v>
      </c>
      <c r="C259" s="33"/>
      <c r="D259"/>
      <c r="E259"/>
    </row>
    <row r="260" spans="1:5">
      <c r="A260" s="33" t="s">
        <v>308</v>
      </c>
      <c r="B260" s="60">
        <f>V48_Nom/Design_Converter!B27</f>
        <v>2.8235294117647061</v>
      </c>
      <c r="C260" s="33" t="s">
        <v>53</v>
      </c>
      <c r="D260"/>
      <c r="E260"/>
    </row>
    <row r="261" spans="1:5">
      <c r="A261" s="33" t="s">
        <v>357</v>
      </c>
      <c r="B261" s="60">
        <f>20*LOG(np*B260/Acs/Rcs*V12_Min/V48_Nom)</f>
        <v>30.954046580107395</v>
      </c>
      <c r="C261" s="33" t="s">
        <v>307</v>
      </c>
      <c r="D261"/>
      <c r="E261"/>
    </row>
    <row r="262" spans="1:5">
      <c r="A262" s="33" t="s">
        <v>355</v>
      </c>
      <c r="B262" s="174">
        <f>1/(2*PI()*Zo_Boost_Cout*(B260+Design_Converter!B63/1000))</f>
        <v>93.614076277151099</v>
      </c>
      <c r="C262" s="33" t="s">
        <v>83</v>
      </c>
      <c r="D262"/>
      <c r="E262"/>
    </row>
    <row r="263" spans="1:5">
      <c r="A263" s="33" t="s">
        <v>356</v>
      </c>
      <c r="B263" s="174">
        <f>B261-20*LOG(B242/B262)</f>
        <v>-1.6603301200102294</v>
      </c>
      <c r="C263" s="33" t="s">
        <v>307</v>
      </c>
      <c r="D263"/>
      <c r="E263"/>
    </row>
    <row r="264" spans="1:5">
      <c r="A264" s="33" t="s">
        <v>358</v>
      </c>
      <c r="B264" s="174">
        <f>10^(-B263/20)*B237/1000/(B216/(B216+B218))</f>
        <v>75.438790306229947</v>
      </c>
      <c r="C264" s="33" t="s">
        <v>39</v>
      </c>
      <c r="D264"/>
      <c r="E264"/>
    </row>
    <row r="265" spans="1:5">
      <c r="A265" s="33" t="s">
        <v>359</v>
      </c>
      <c r="B265" s="47">
        <f>Design_Converter!B194</f>
        <v>75</v>
      </c>
      <c r="C265" s="33" t="s">
        <v>39</v>
      </c>
      <c r="D265"/>
      <c r="E265"/>
    </row>
    <row r="266" spans="1:5">
      <c r="A266" s="33" t="s">
        <v>360</v>
      </c>
      <c r="B266" s="174">
        <f>1/(2*PI()*B265*1000*B262)*1000000000</f>
        <v>22.668235294117647</v>
      </c>
      <c r="C266" s="33" t="s">
        <v>40</v>
      </c>
      <c r="D266"/>
      <c r="E266"/>
    </row>
    <row r="267" spans="1:5">
      <c r="A267" s="33" t="s">
        <v>361</v>
      </c>
      <c r="B267" s="47">
        <f>Design_Converter!B196</f>
        <v>33</v>
      </c>
      <c r="C267" s="33" t="s">
        <v>40</v>
      </c>
      <c r="D267"/>
      <c r="E267"/>
    </row>
    <row r="268" spans="1:5">
      <c r="A268" s="33" t="s">
        <v>362</v>
      </c>
      <c r="B268" s="174">
        <f>MIN(B267*10,1000000000000/(2*PI()*B265*1000*B240))</f>
        <v>177.55555555555551</v>
      </c>
      <c r="C268" s="33" t="s">
        <v>364</v>
      </c>
      <c r="D268"/>
      <c r="E268">
        <f>MAX(B267*20,1000000000000/(2*PI()*B265*1000*B240))</f>
        <v>660</v>
      </c>
    </row>
    <row r="269" spans="1:5">
      <c r="A269" s="33" t="s">
        <v>363</v>
      </c>
      <c r="B269" s="47">
        <f>Design_Converter!B198</f>
        <v>100</v>
      </c>
      <c r="C269" s="33" t="s">
        <v>364</v>
      </c>
      <c r="D269"/>
      <c r="E269"/>
    </row>
    <row r="270" spans="1:5">
      <c r="A270" s="33" t="s">
        <v>326</v>
      </c>
      <c r="B270" s="174">
        <f>1/(2*PI()*B265*1000*B267*10^-9)/1000</f>
        <v>6.4305027511876903E-2</v>
      </c>
      <c r="C270" s="33" t="s">
        <v>3</v>
      </c>
      <c r="D270"/>
      <c r="E270"/>
    </row>
    <row r="271" spans="1:5">
      <c r="A271" s="33" t="s">
        <v>327</v>
      </c>
      <c r="B271" s="174">
        <f>1/(2*PI()*B265*1000*B269*10^-12)/1000</f>
        <v>21.220659078919379</v>
      </c>
      <c r="C271" s="33" t="s">
        <v>3</v>
      </c>
    </row>
    <row r="272" spans="1:5">
      <c r="D272"/>
      <c r="E272"/>
    </row>
    <row r="273" spans="4:5">
      <c r="D273"/>
      <c r="E273"/>
    </row>
    <row r="274" spans="4:5">
      <c r="D274"/>
      <c r="E274"/>
    </row>
  </sheetData>
  <mergeCells count="28">
    <mergeCell ref="A256:C256"/>
    <mergeCell ref="A212:C212"/>
    <mergeCell ref="A233:C233"/>
    <mergeCell ref="A189:C189"/>
    <mergeCell ref="A199:C199"/>
    <mergeCell ref="A243:C243"/>
    <mergeCell ref="A138:C138"/>
    <mergeCell ref="A150:C150"/>
    <mergeCell ref="A167:C167"/>
    <mergeCell ref="A129:C129"/>
    <mergeCell ref="A114:C114"/>
    <mergeCell ref="A159:C159"/>
    <mergeCell ref="A163:C163"/>
    <mergeCell ref="A103:C103"/>
    <mergeCell ref="A90:C90"/>
    <mergeCell ref="AD58:AO58"/>
    <mergeCell ref="A14:C14"/>
    <mergeCell ref="A6:C6"/>
    <mergeCell ref="A10:C10"/>
    <mergeCell ref="A68:C68"/>
    <mergeCell ref="A45:C45"/>
    <mergeCell ref="A21:C21"/>
    <mergeCell ref="AB4:AE4"/>
    <mergeCell ref="AF4:AI4"/>
    <mergeCell ref="AJ4:AM4"/>
    <mergeCell ref="P4:S4"/>
    <mergeCell ref="T4:W4"/>
    <mergeCell ref="X4:AA4"/>
  </mergeCells>
  <phoneticPr fontId="24" type="noConversion"/>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CT228"/>
  <sheetViews>
    <sheetView zoomScale="85" zoomScaleNormal="85" workbookViewId="0">
      <selection activeCell="AF223" sqref="AF223"/>
    </sheetView>
  </sheetViews>
  <sheetFormatPr defaultRowHeight="15"/>
  <cols>
    <col min="1" max="1" width="27.42578125" customWidth="1"/>
    <col min="2" max="2" width="11.7109375" customWidth="1"/>
    <col min="3" max="3" width="12" customWidth="1"/>
    <col min="4" max="4" width="11.85546875" customWidth="1"/>
    <col min="7" max="7" width="10.42578125" customWidth="1"/>
    <col min="8" max="8" width="9.42578125" customWidth="1"/>
    <col min="10" max="10" width="17.42578125" customWidth="1"/>
    <col min="13" max="13" width="16.28515625" customWidth="1"/>
    <col min="14" max="14" width="16" bestFit="1" customWidth="1"/>
    <col min="15" max="15" width="13.85546875" customWidth="1"/>
    <col min="18" max="18" width="17.42578125" customWidth="1"/>
    <col min="21" max="21" width="12" customWidth="1"/>
    <col min="24" max="24" width="11.85546875" customWidth="1"/>
    <col min="25" max="25" width="10.42578125" customWidth="1"/>
    <col min="33" max="33" width="13.42578125" bestFit="1" customWidth="1"/>
  </cols>
  <sheetData>
    <row r="3" spans="1:31">
      <c r="B3" t="s">
        <v>228</v>
      </c>
    </row>
    <row r="4" spans="1:31">
      <c r="B4" t="s">
        <v>229</v>
      </c>
    </row>
    <row r="5" spans="1:31">
      <c r="B5" s="301" t="s">
        <v>33</v>
      </c>
      <c r="C5" s="301"/>
      <c r="D5" s="292" t="s">
        <v>230</v>
      </c>
      <c r="E5" s="292"/>
      <c r="F5" s="292"/>
      <c r="G5" s="292" t="s">
        <v>234</v>
      </c>
      <c r="H5" s="292"/>
      <c r="I5" s="292"/>
      <c r="J5" s="292" t="s">
        <v>235</v>
      </c>
      <c r="K5" s="292"/>
      <c r="L5" s="292"/>
    </row>
    <row r="6" spans="1:31">
      <c r="B6" s="302"/>
      <c r="C6" s="302"/>
      <c r="D6" s="292"/>
      <c r="E6" s="292"/>
      <c r="F6" s="292"/>
      <c r="G6" s="292"/>
      <c r="H6" s="292"/>
      <c r="I6" s="292"/>
      <c r="J6" s="292"/>
      <c r="K6" s="292"/>
      <c r="L6" s="292"/>
    </row>
    <row r="7" spans="1:31" s="2" customFormat="1" ht="45">
      <c r="B7" s="66" t="s">
        <v>35</v>
      </c>
      <c r="C7" s="66" t="s">
        <v>34</v>
      </c>
      <c r="D7" s="67" t="s">
        <v>231</v>
      </c>
      <c r="E7" s="67" t="s">
        <v>232</v>
      </c>
      <c r="F7" s="67" t="s">
        <v>233</v>
      </c>
      <c r="G7" s="67" t="s">
        <v>231</v>
      </c>
      <c r="H7" s="67" t="s">
        <v>232</v>
      </c>
      <c r="I7" s="67" t="s">
        <v>233</v>
      </c>
      <c r="J7" s="67" t="s">
        <v>231</v>
      </c>
      <c r="K7" s="67" t="s">
        <v>232</v>
      </c>
      <c r="L7" s="67" t="s">
        <v>233</v>
      </c>
    </row>
    <row r="8" spans="1:31">
      <c r="A8">
        <v>0</v>
      </c>
      <c r="B8" s="1">
        <f>10^A8</f>
        <v>1</v>
      </c>
      <c r="C8" s="1">
        <f>2*PI()*B8</f>
        <v>6.2831853071795862</v>
      </c>
      <c r="D8" s="68" t="str">
        <f>IMPRODUCT(COMPLEX(1/(Kff*(Rcs+Rs)),0),IMDIV(COMPLEX(1,0),COMPLEX(1,(C8*Lm)/(Rcs+Rs))))</f>
        <v>2909.06994267265-7.80978726821682i</v>
      </c>
      <c r="E8" s="1">
        <f>20*LOG10(IMABS(D8))</f>
        <v>69.275114562621681</v>
      </c>
      <c r="F8" s="1">
        <f>IMARGUMENT(D8)*(180/PI())</f>
        <v>-0.15381781228399427</v>
      </c>
      <c r="G8" s="1" t="str">
        <f>IMPRODUCT(COMPLEX(-(gm*Acs*Rcs)/(IL_Comp_Ccomp+IL_Comp_Chf),0),IMDIV(COMPLEX(1,C8*IL_Comp_Rcomp*IL_Comp_Ccomp),IMPRODUCT(COMPLEX(0,C8),COMPLEX(1,C8*IL_Comp_Rcomp*((IL_Comp_Ccomp*IL_Comp_Chf)/(IL_Comp_Ccomp+IL_Comp_Chf))))))</f>
        <v>-0.0141162631043795+6.3031663791863i</v>
      </c>
      <c r="H8" s="1">
        <f>20*LOG(IMABS(G8))</f>
        <v>15.991197201764569</v>
      </c>
      <c r="I8" s="1">
        <f>IMARGUMENT(G8)*(180/PI())</f>
        <v>90.12831661065546</v>
      </c>
      <c r="J8" s="1" t="str">
        <f>IMPRODUCT(D8,G8)</f>
        <v>8.16119183781216+18336.4621023675i</v>
      </c>
      <c r="K8" s="1">
        <f>20*LOG(IMABS(J8))</f>
        <v>85.266311764386217</v>
      </c>
      <c r="L8" s="1">
        <f>IMARGUMENT(J8)*(180/PI())</f>
        <v>89.974498798371457</v>
      </c>
      <c r="AB8" t="s">
        <v>83</v>
      </c>
      <c r="AC8" t="s">
        <v>247</v>
      </c>
      <c r="AD8" t="s">
        <v>248</v>
      </c>
      <c r="AE8" t="s">
        <v>232</v>
      </c>
    </row>
    <row r="9" spans="1:31">
      <c r="A9" s="121">
        <f>1/9</f>
        <v>0.1111111111111111</v>
      </c>
      <c r="B9" s="1">
        <f t="shared" ref="B9:B62" si="0">10^A9</f>
        <v>1.2915496650148839</v>
      </c>
      <c r="C9" s="1">
        <f t="shared" ref="C9:C62" si="1">2*PI()*B9</f>
        <v>8.1150458787142341</v>
      </c>
      <c r="D9" s="68" t="str">
        <f t="shared" ref="D9:D39" si="2">IMPRODUCT(COMPLEX(1/(Kff*(Rcs+Rs)),0),IMDIV(COMPLEX(1,0),COMPLEX(1,(C9*Lm)/(Rcs+Rs))))</f>
        <v>2909.05593516575-10.086679561345i</v>
      </c>
      <c r="E9" s="1">
        <f t="shared" ref="E9:E62" si="3">20*LOG10(IMABS(D9))</f>
        <v>69.275093650791717</v>
      </c>
      <c r="F9" s="1">
        <f t="shared" ref="F9:F62" si="4">IMARGUMENT(D9)*(180/PI())</f>
        <v>-0.19866302506549888</v>
      </c>
      <c r="G9" s="1" t="str">
        <f t="shared" ref="G9:G39" si="5">IMPRODUCT(COMPLEX(-(gm*Acs*Rcs)/(IL_Comp_Ccomp+IL_Comp_Chf),0),IMDIV(COMPLEX(1,C9*IL_Comp_Rcomp*IL_Comp_Ccomp),IMPRODUCT(COMPLEX(0,C9),COMPLEX(1,C9*IL_Comp_Rcomp*((IL_Comp_Ccomp*IL_Comp_Chf)/(IL_Comp_Ccomp+IL_Comp_Chf))))))</f>
        <v>-0.0141162630996493+4.88031297683592i</v>
      </c>
      <c r="H9" s="1">
        <f t="shared" ref="H9:H62" si="6">20*LOG(IMABS(G9))</f>
        <v>13.768989823350399</v>
      </c>
      <c r="I9" s="1">
        <f t="shared" ref="I9:I62" si="7">IMARGUMENT(G9)*(180/PI())</f>
        <v>90.165727084787363</v>
      </c>
      <c r="J9" s="1" t="str">
        <f t="shared" ref="J9:J62" si="8">IMPRODUCT(D9,G9)</f>
        <v>8.16115420402159+14197.2458169534i</v>
      </c>
      <c r="K9" s="1">
        <f t="shared" ref="K9:K62" si="9">20*LOG(IMABS(J9))</f>
        <v>83.044083474142084</v>
      </c>
      <c r="L9" s="1">
        <f t="shared" ref="L9:L62" si="10">IMARGUMENT(J9)*(180/PI())</f>
        <v>89.967064059721878</v>
      </c>
      <c r="Z9" t="s">
        <v>244</v>
      </c>
      <c r="AB9">
        <f>Calculations!B170*1000</f>
        <v>372.49029234273371</v>
      </c>
      <c r="AC9">
        <f>2*PI()*AB9</f>
        <v>2340.4255319148933</v>
      </c>
      <c r="AD9" t="str">
        <f>IMPRODUCT(IMPRODUCT(COMPLEX(1/(Kff*(Rcs+(Calculations!$B$168/1000))),0),IMDIV(COMPLEX(1,0),COMPLEX(1,(AC9*Lm)/(Rcs+(Calculations!$B$168/1000))))),IMPRODUCT(COMPLEX(-(gm*Acs*Rcs)/(IL_Comp_Ccomp+IL_Comp_Chf),0),IMDIV(COMPLEX(1,AC9*IL_Comp_Rcomp*IL_Comp_Ccomp),IMPRODUCT(COMPLEX(0,AC9),COMPLEX(1,AC9*IL_Comp_Rcomp*((IL_Comp_Ccomp*IL_Comp_Chf)/(IL_Comp_Ccomp+IL_Comp_Chf)))))))</f>
        <v>4.25332740112129+45.3159625068547i</v>
      </c>
      <c r="AE9">
        <f>20*LOG10(IMABS(AD9))</f>
        <v>33.163116154534016</v>
      </c>
    </row>
    <row r="10" spans="1:31">
      <c r="A10" s="121">
        <f>2/9</f>
        <v>0.22222222222222221</v>
      </c>
      <c r="B10" s="1">
        <f t="shared" si="0"/>
        <v>1.6681005372000588</v>
      </c>
      <c r="C10" s="1">
        <f t="shared" si="1"/>
        <v>10.480984786233785</v>
      </c>
      <c r="D10" s="68" t="str">
        <f t="shared" si="2"/>
        <v>2909.03256953615-13.027342971695i</v>
      </c>
      <c r="E10" s="1">
        <f t="shared" si="3"/>
        <v>69.275058767980994</v>
      </c>
      <c r="F10" s="1">
        <f t="shared" si="4"/>
        <v>-0.25658247650951044</v>
      </c>
      <c r="G10" s="1" t="str">
        <f t="shared" si="5"/>
        <v>-0.0141162630917587+3.7786493092954i</v>
      </c>
      <c r="H10" s="1">
        <f t="shared" si="6"/>
        <v>11.546792361979449</v>
      </c>
      <c r="I10" s="1">
        <f t="shared" si="7"/>
        <v>90.214044349948352</v>
      </c>
      <c r="J10" s="1" t="str">
        <f t="shared" si="8"/>
        <v>8.16109142788248+10992.3978069964i</v>
      </c>
      <c r="K10" s="1">
        <f t="shared" si="9"/>
        <v>80.821851129960464</v>
      </c>
      <c r="L10" s="1">
        <f t="shared" si="10"/>
        <v>89.957461873438845</v>
      </c>
      <c r="Z10" t="s">
        <v>245</v>
      </c>
      <c r="AB10">
        <f>Calculations!B182*1000</f>
        <v>442.09706414415365</v>
      </c>
      <c r="AC10">
        <f>2*PI()*AB10</f>
        <v>2777.7777777777774</v>
      </c>
      <c r="AD10" t="str">
        <f>IMPRODUCT(IMPRODUCT(COMPLEX(1/(Kff*(Rcs+(Calculations!$B$168/1000))),0),IMDIV(COMPLEX(1,0),COMPLEX(1,(AC10*Lm)/(Rcs+(Calculations!$B$168/1000))))),IMPRODUCT(COMPLEX(-(gm*Acs*Rcs)/(IL_Comp_Ccomp+IL_Comp_Chf),0),IMDIV(COMPLEX(1,AC10*IL_Comp_Rcomp*IL_Comp_Ccomp),IMPRODUCT(COMPLEX(0,AC10),COMPLEX(1,AC10*IL_Comp_Rcomp*((IL_Comp_Ccomp*IL_Comp_Chf)/(IL_Comp_Ccomp+IL_Comp_Chf)))))))</f>
        <v>3.59029654168617+37.6214862555191i</v>
      </c>
      <c r="AE10">
        <f>20*LOG10(IMABS(AD10))</f>
        <v>31.548092369594798</v>
      </c>
    </row>
    <row r="11" spans="1:31">
      <c r="A11" s="121">
        <f>3/9</f>
        <v>0.33333333333333331</v>
      </c>
      <c r="B11" s="1">
        <f t="shared" si="0"/>
        <v>2.1544346900318838</v>
      </c>
      <c r="C11" s="1">
        <f t="shared" si="1"/>
        <v>13.536712389686338</v>
      </c>
      <c r="D11" s="68" t="str">
        <f t="shared" si="2"/>
        <v>2908.99359415211-16.8252350226493i</v>
      </c>
      <c r="E11" s="1">
        <f t="shared" si="3"/>
        <v>69.275000580569156</v>
      </c>
      <c r="F11" s="1">
        <f t="shared" si="4"/>
        <v>-0.33138753158304157</v>
      </c>
      <c r="G11" s="1" t="str">
        <f t="shared" si="5"/>
        <v>-0.0141162630785966+2.92567120256885i</v>
      </c>
      <c r="H11" s="1">
        <f t="shared" si="6"/>
        <v>9.324611443032385</v>
      </c>
      <c r="I11" s="1">
        <f t="shared" si="7"/>
        <v>90.276448023240761</v>
      </c>
      <c r="J11" s="1" t="str">
        <f t="shared" si="8"/>
        <v>8.16098671321446+8510.99629631202i</v>
      </c>
      <c r="K11" s="1">
        <f t="shared" si="9"/>
        <v>78.599612023601551</v>
      </c>
      <c r="L11" s="1">
        <f t="shared" si="10"/>
        <v>89.945060491657742</v>
      </c>
      <c r="Z11" t="s">
        <v>246</v>
      </c>
      <c r="AB11">
        <f>Calculations!B183*1000</f>
        <v>44209.706414415377</v>
      </c>
      <c r="AC11">
        <f>2*PI()*AB11</f>
        <v>277777.77777777781</v>
      </c>
      <c r="AD11" t="str">
        <f>IMPRODUCT(IMPRODUCT(COMPLEX(1/(Kff*(Rcs+(Calculations!$B$168/1000))),0),IMDIV(COMPLEX(1,0),COMPLEX(1,(AC11*Lm)/(Rcs+(Calculations!$B$168/1000))))),IMPRODUCT(COMPLEX(-(gm*Acs*Rcs)/(IL_Comp_Ccomp+IL_Comp_Chf),0),IMDIV(COMPLEX(1,AC11*IL_Comp_Rcomp*IL_Comp_Ccomp),IMPRODUCT(COMPLEX(0,AC11),COMPLEX(1,AC11*IL_Comp_Rcomp*((IL_Comp_Ccomp*IL_Comp_Chf)/(IL_Comp_Ccomp+IL_Comp_Chf)))))))</f>
        <v>0.175000794103496+0.17619512795607i</v>
      </c>
      <c r="AE11">
        <f>20*LOG10(IMABS(AD11))</f>
        <v>-12.099260441630831</v>
      </c>
    </row>
    <row r="12" spans="1:31">
      <c r="A12" s="121">
        <f>4/9</f>
        <v>0.44444444444444442</v>
      </c>
      <c r="B12" s="1">
        <f t="shared" si="0"/>
        <v>2.7825594022071245</v>
      </c>
      <c r="C12" s="1">
        <f t="shared" si="1"/>
        <v>17.483336352302217</v>
      </c>
      <c r="D12" s="68" t="str">
        <f t="shared" si="2"/>
        <v>2908.92858161714-21.7301410037289i</v>
      </c>
      <c r="E12" s="1">
        <f t="shared" si="3"/>
        <v>69.274903519851136</v>
      </c>
      <c r="F12" s="1">
        <f t="shared" si="4"/>
        <v>-0.42800026690799048</v>
      </c>
      <c r="G12" s="1" t="str">
        <f t="shared" si="5"/>
        <v>-0.0141162630566407+2.26524131194114i</v>
      </c>
      <c r="H12" s="1">
        <f t="shared" si="6"/>
        <v>7.1024581179512385</v>
      </c>
      <c r="I12" s="1">
        <f t="shared" si="7"/>
        <v>90.357044444662264</v>
      </c>
      <c r="J12" s="1" t="str">
        <f t="shared" si="8"/>
        <v>8.16081204486455+6589.73194495216i</v>
      </c>
      <c r="K12" s="1">
        <f t="shared" si="9"/>
        <v>76.37736163780238</v>
      </c>
      <c r="L12" s="1">
        <f t="shared" si="10"/>
        <v>89.929044177754278</v>
      </c>
    </row>
    <row r="13" spans="1:31">
      <c r="A13" s="121">
        <f>5/9</f>
        <v>0.55555555555555558</v>
      </c>
      <c r="B13" s="1">
        <f t="shared" si="0"/>
        <v>3.5938136638046281</v>
      </c>
      <c r="C13" s="1">
        <f t="shared" si="1"/>
        <v>22.580597209158476</v>
      </c>
      <c r="D13" s="68" t="str">
        <f t="shared" si="2"/>
        <v>2908.82014063897-28.0645100875804i</v>
      </c>
      <c r="E13" s="1">
        <f t="shared" si="3"/>
        <v>69.274741617642263</v>
      </c>
      <c r="F13" s="1">
        <f t="shared" si="4"/>
        <v>-0.55277673218593815</v>
      </c>
      <c r="G13" s="1" t="str">
        <f t="shared" si="5"/>
        <v>-0.0141162630200162+1.75389453539159i</v>
      </c>
      <c r="H13" s="1">
        <f t="shared" si="6"/>
        <v>4.8803508206544102</v>
      </c>
      <c r="I13" s="1">
        <f t="shared" si="7"/>
        <v>90.46113652417668</v>
      </c>
      <c r="J13" s="1" t="str">
        <f t="shared" si="8"/>
        <v>8.1605206978692+5102.15991510961i</v>
      </c>
      <c r="K13" s="1">
        <f t="shared" si="9"/>
        <v>74.155092438296691</v>
      </c>
      <c r="L13" s="1">
        <f t="shared" si="10"/>
        <v>89.908359791990748</v>
      </c>
    </row>
    <row r="14" spans="1:31">
      <c r="A14" s="121">
        <f>6/9</f>
        <v>0.66666666666666663</v>
      </c>
      <c r="B14" s="1">
        <f t="shared" si="0"/>
        <v>4.6415888336127793</v>
      </c>
      <c r="C14" s="1">
        <f t="shared" si="1"/>
        <v>29.163962761324647</v>
      </c>
      <c r="D14" s="68" t="str">
        <f t="shared" si="2"/>
        <v>2908.63926817586-36.244454756825i</v>
      </c>
      <c r="E14" s="1">
        <f t="shared" si="3"/>
        <v>69.274471561911199</v>
      </c>
      <c r="F14" s="1">
        <f t="shared" si="4"/>
        <v>-0.71392380499778607</v>
      </c>
      <c r="G14" s="1" t="str">
        <f t="shared" si="5"/>
        <v>-0.0141162629589228+1.3579774297219i</v>
      </c>
      <c r="H14" s="1">
        <f t="shared" si="6"/>
        <v>2.6583202979932747</v>
      </c>
      <c r="I14" s="1">
        <f t="shared" si="7"/>
        <v>90.595571871727714</v>
      </c>
      <c r="J14" s="1" t="str">
        <f t="shared" si="8"/>
        <v>8.1600347501257+3950.37811363979i</v>
      </c>
      <c r="K14" s="1">
        <f t="shared" si="9"/>
        <v>71.932791859904469</v>
      </c>
      <c r="L14" s="1">
        <f t="shared" si="10"/>
        <v>89.881648066729923</v>
      </c>
    </row>
    <row r="15" spans="1:31">
      <c r="A15" s="121">
        <f>7/9</f>
        <v>0.77777777777777779</v>
      </c>
      <c r="B15" s="1">
        <f t="shared" si="0"/>
        <v>5.9948425031894104</v>
      </c>
      <c r="C15" s="1">
        <f t="shared" si="1"/>
        <v>37.666706334895395</v>
      </c>
      <c r="D15" s="68" t="str">
        <f t="shared" si="2"/>
        <v>2908.33760477337-46.8066584421946i</v>
      </c>
      <c r="E15" s="1">
        <f t="shared" si="3"/>
        <v>69.27402111916723</v>
      </c>
      <c r="F15" s="1">
        <f t="shared" si="4"/>
        <v>-0.92203617242594571</v>
      </c>
      <c r="G15" s="1" t="str">
        <f t="shared" si="5"/>
        <v>-0.0141162628570126+1.05143336479782i</v>
      </c>
      <c r="H15" s="1">
        <f t="shared" si="6"/>
        <v>0.43641783107927157</v>
      </c>
      <c r="I15" s="1">
        <f t="shared" si="7"/>
        <v>90.769191582578273</v>
      </c>
      <c r="J15" s="1" t="str">
        <f t="shared" si="8"/>
        <v>8.15922427490364+3058.58392884893i</v>
      </c>
      <c r="K15" s="1">
        <f t="shared" si="9"/>
        <v>69.710438950246512</v>
      </c>
      <c r="L15" s="1">
        <f t="shared" si="10"/>
        <v>89.847155410152325</v>
      </c>
    </row>
    <row r="16" spans="1:31">
      <c r="A16" s="121">
        <f>8/9</f>
        <v>0.88888888888888884</v>
      </c>
      <c r="B16" s="1">
        <f t="shared" si="0"/>
        <v>7.7426368268112711</v>
      </c>
      <c r="C16" s="1">
        <f t="shared" si="1"/>
        <v>48.648421949048156</v>
      </c>
      <c r="D16" s="68" t="str">
        <f t="shared" si="2"/>
        <v>2907.83453911061-60.442667236213i</v>
      </c>
      <c r="E16" s="1">
        <f t="shared" si="3"/>
        <v>69.273269839334006</v>
      </c>
      <c r="F16" s="1">
        <f t="shared" si="4"/>
        <v>-1.1907868403128699</v>
      </c>
      <c r="G16" s="1" t="str">
        <f t="shared" si="5"/>
        <v>-0.0141162626870165+0.814087649490348i</v>
      </c>
      <c r="H16" s="1">
        <f t="shared" si="6"/>
        <v>-1.7852710595358894</v>
      </c>
      <c r="I16" s="1">
        <f t="shared" si="7"/>
        <v>90.993408053074532</v>
      </c>
      <c r="J16" s="1" t="str">
        <f t="shared" si="8"/>
        <v>8.15787269479098+2368.08540961962i</v>
      </c>
      <c r="K16" s="1">
        <f t="shared" si="9"/>
        <v>67.487998779798119</v>
      </c>
      <c r="L16" s="1">
        <f t="shared" si="10"/>
        <v>89.802621212761679</v>
      </c>
    </row>
    <row r="17" spans="1:12">
      <c r="A17" s="121">
        <f>1+A8</f>
        <v>1</v>
      </c>
      <c r="B17" s="1">
        <f t="shared" si="0"/>
        <v>10</v>
      </c>
      <c r="C17" s="1">
        <f t="shared" si="1"/>
        <v>62.831853071795862</v>
      </c>
      <c r="D17" s="68" t="str">
        <f t="shared" si="2"/>
        <v>2906.99576218004-78.0421885332053i</v>
      </c>
      <c r="E17" s="1">
        <f t="shared" si="3"/>
        <v>69.272016918178451</v>
      </c>
      <c r="F17" s="1">
        <f t="shared" si="4"/>
        <v>-1.5378124421147787</v>
      </c>
      <c r="G17" s="1" t="str">
        <f t="shared" si="5"/>
        <v>-0.0141162624034459+0.630319767713774i</v>
      </c>
      <c r="H17" s="1">
        <f t="shared" si="6"/>
        <v>-4.0066037767692677</v>
      </c>
      <c r="I17" s="1">
        <f t="shared" si="7"/>
        <v>91.282947356267499</v>
      </c>
      <c r="J17" s="1" t="str">
        <f t="shared" si="8"/>
        <v>8.15561916348587+1833.43855757412i</v>
      </c>
      <c r="K17" s="1">
        <f t="shared" si="9"/>
        <v>65.265413141409169</v>
      </c>
      <c r="L17" s="1">
        <f t="shared" si="10"/>
        <v>89.745134914152729</v>
      </c>
    </row>
    <row r="18" spans="1:12">
      <c r="A18" s="121">
        <f t="shared" ref="A18:A62" si="11">1+A9</f>
        <v>1.1111111111111112</v>
      </c>
      <c r="B18" s="1">
        <f t="shared" si="0"/>
        <v>12.915496650148844</v>
      </c>
      <c r="C18" s="1">
        <f t="shared" si="1"/>
        <v>81.150458787142384</v>
      </c>
      <c r="D18" s="68" t="str">
        <f t="shared" si="2"/>
        <v>2905.59767424499-100.746886025857i</v>
      </c>
      <c r="E18" s="1">
        <f t="shared" si="3"/>
        <v>69.269927723763743</v>
      </c>
      <c r="F18" s="1">
        <f t="shared" si="4"/>
        <v>-1.9858426450899707</v>
      </c>
      <c r="G18" s="1" t="str">
        <f t="shared" si="5"/>
        <v>-0.0141162619304215+0.488035339969327i</v>
      </c>
      <c r="H18" s="1">
        <f t="shared" si="6"/>
        <v>-6.2273426206228795</v>
      </c>
      <c r="I18" s="1">
        <f t="shared" si="7"/>
        <v>91.656799662227058</v>
      </c>
      <c r="J18" s="1" t="str">
        <f t="shared" si="8"/>
        <v>8.15186293841436+1419.45651819605i</v>
      </c>
      <c r="K18" s="1">
        <f t="shared" si="9"/>
        <v>63.042585103140837</v>
      </c>
      <c r="L18" s="1">
        <f t="shared" si="10"/>
        <v>89.670957017137084</v>
      </c>
    </row>
    <row r="19" spans="1:12">
      <c r="A19" s="121">
        <f t="shared" si="11"/>
        <v>1.2222222222222223</v>
      </c>
      <c r="B19" s="1">
        <f t="shared" si="0"/>
        <v>16.681005372000598</v>
      </c>
      <c r="C19" s="1">
        <f t="shared" si="1"/>
        <v>104.8098478623379</v>
      </c>
      <c r="D19" s="68" t="str">
        <f t="shared" si="2"/>
        <v>2903.26851321276-130.015301501339i</v>
      </c>
      <c r="E19" s="1">
        <f t="shared" si="3"/>
        <v>69.266444972378764</v>
      </c>
      <c r="F19" s="1">
        <f t="shared" si="4"/>
        <v>-2.5641287449957391</v>
      </c>
      <c r="G19" s="1" t="str">
        <f t="shared" si="5"/>
        <v>-0.0141162611413694+0.377870151742031i</v>
      </c>
      <c r="H19" s="1">
        <f t="shared" si="6"/>
        <v>-8.4470915457496947</v>
      </c>
      <c r="I19" s="1">
        <f t="shared" si="7"/>
        <v>92.139428711166062</v>
      </c>
      <c r="J19" s="1" t="str">
        <f t="shared" si="8"/>
        <v>8.14560521107028+1098.89384358393i</v>
      </c>
      <c r="K19" s="1">
        <f t="shared" si="9"/>
        <v>60.819353426629057</v>
      </c>
      <c r="L19" s="1">
        <f t="shared" si="10"/>
        <v>89.57529996617032</v>
      </c>
    </row>
    <row r="20" spans="1:12">
      <c r="A20" s="121">
        <f t="shared" si="11"/>
        <v>1.3333333333333333</v>
      </c>
      <c r="B20" s="1">
        <f t="shared" si="0"/>
        <v>21.544346900318843</v>
      </c>
      <c r="C20" s="1">
        <f t="shared" si="1"/>
        <v>135.3671238968634</v>
      </c>
      <c r="D20" s="68" t="str">
        <f t="shared" si="2"/>
        <v>2899.3915370971-167.696979919126i</v>
      </c>
      <c r="E20" s="1">
        <f t="shared" si="3"/>
        <v>69.260641600926888</v>
      </c>
      <c r="F20" s="1">
        <f t="shared" si="4"/>
        <v>-3.3102243104145281</v>
      </c>
      <c r="G20" s="1" t="str">
        <f t="shared" si="5"/>
        <v>-0.0141162598251514+0.292573863194873i</v>
      </c>
      <c r="H20" s="1">
        <f t="shared" si="6"/>
        <v>-10.665191192254721</v>
      </c>
      <c r="I20" s="1">
        <f t="shared" si="7"/>
        <v>92.762295195106702</v>
      </c>
      <c r="J20" s="1" t="str">
        <f t="shared" si="8"/>
        <v>8.13518898854397+850.653437063451i</v>
      </c>
      <c r="K20" s="1">
        <f t="shared" si="9"/>
        <v>58.595450408672164</v>
      </c>
      <c r="L20" s="1">
        <f t="shared" si="10"/>
        <v>89.452070884692191</v>
      </c>
    </row>
    <row r="21" spans="1:12">
      <c r="A21" s="121">
        <f t="shared" si="11"/>
        <v>1.4444444444444444</v>
      </c>
      <c r="B21" s="1">
        <f t="shared" si="0"/>
        <v>27.825594022071257</v>
      </c>
      <c r="C21" s="1">
        <f t="shared" si="1"/>
        <v>174.83336352302226</v>
      </c>
      <c r="D21" s="68" t="str">
        <f t="shared" si="2"/>
        <v>2892.94734211667-216.107587026459i</v>
      </c>
      <c r="E21" s="1">
        <f t="shared" si="3"/>
        <v>69.250978217850204</v>
      </c>
      <c r="F21" s="1">
        <f t="shared" si="4"/>
        <v>-4.2721474238573798</v>
      </c>
      <c r="G21" s="1" t="str">
        <f t="shared" si="5"/>
        <v>-0.0141162576295679+0.226532840032047i</v>
      </c>
      <c r="H21" s="1">
        <f t="shared" si="6"/>
        <v>-12.880545242066008</v>
      </c>
      <c r="I21" s="1">
        <f t="shared" si="7"/>
        <v>93.565741438783917</v>
      </c>
      <c r="J21" s="1" t="str">
        <f t="shared" si="8"/>
        <v>8.11787545148389+658.398207847021i</v>
      </c>
      <c r="K21" s="1">
        <f t="shared" si="9"/>
        <v>56.370432975784198</v>
      </c>
      <c r="L21" s="1">
        <f t="shared" si="10"/>
        <v>89.293594014926555</v>
      </c>
    </row>
    <row r="22" spans="1:12">
      <c r="A22" s="121">
        <f t="shared" si="11"/>
        <v>1.5555555555555556</v>
      </c>
      <c r="B22" s="1">
        <f t="shared" si="0"/>
        <v>35.938136638046281</v>
      </c>
      <c r="C22" s="1">
        <f t="shared" si="1"/>
        <v>225.80597209158475</v>
      </c>
      <c r="D22" s="68" t="str">
        <f t="shared" si="2"/>
        <v>2882.26128782656-278.082683274747i</v>
      </c>
      <c r="E22" s="1">
        <f t="shared" si="3"/>
        <v>69.234906418525597</v>
      </c>
      <c r="F22" s="1">
        <f t="shared" si="4"/>
        <v>-5.510881669293644</v>
      </c>
      <c r="G22" s="1" t="str">
        <f t="shared" si="5"/>
        <v>-0.0141162539671154+0.175400701432926i</v>
      </c>
      <c r="H22" s="1">
        <f t="shared" si="6"/>
        <v>-15.091334782707817</v>
      </c>
      <c r="I22" s="1">
        <f t="shared" si="7"/>
        <v>94.601249086205698</v>
      </c>
      <c r="J22" s="1" t="str">
        <f t="shared" si="8"/>
        <v>8.089165364196+509.47613737871i</v>
      </c>
      <c r="K22" s="1">
        <f t="shared" si="9"/>
        <v>54.143571635817771</v>
      </c>
      <c r="L22" s="1">
        <f t="shared" si="10"/>
        <v>89.090367416912059</v>
      </c>
    </row>
    <row r="23" spans="1:12">
      <c r="A23" s="121">
        <f t="shared" si="11"/>
        <v>1.6666666666666665</v>
      </c>
      <c r="B23" s="1">
        <f t="shared" si="0"/>
        <v>46.415888336127786</v>
      </c>
      <c r="C23" s="1">
        <f t="shared" si="1"/>
        <v>291.63962761324643</v>
      </c>
      <c r="D23" s="68" t="str">
        <f t="shared" si="2"/>
        <v>2864.61047758792-356.958134983773i</v>
      </c>
      <c r="E23" s="1">
        <f t="shared" si="3"/>
        <v>69.20822869225961</v>
      </c>
      <c r="F23" s="1">
        <f t="shared" si="4"/>
        <v>-7.1029944794128861</v>
      </c>
      <c r="G23" s="1" t="str">
        <f t="shared" si="5"/>
        <v>-0.0141162478577808+0.135812270179266i</v>
      </c>
      <c r="H23" s="1">
        <f t="shared" si="6"/>
        <v>-17.294552876015782</v>
      </c>
      <c r="I23" s="1">
        <f t="shared" si="7"/>
        <v>95.933981933998226</v>
      </c>
      <c r="J23" s="1" t="str">
        <f t="shared" si="8"/>
        <v>8.04174315347618+394.088161648809i</v>
      </c>
      <c r="K23" s="1">
        <f t="shared" si="9"/>
        <v>51.913675816243845</v>
      </c>
      <c r="L23" s="1">
        <f t="shared" si="10"/>
        <v>88.830987454585355</v>
      </c>
    </row>
    <row r="24" spans="1:12">
      <c r="A24" s="121">
        <f t="shared" si="11"/>
        <v>1.7777777777777777</v>
      </c>
      <c r="B24" s="1">
        <f t="shared" si="0"/>
        <v>59.948425031894104</v>
      </c>
      <c r="C24" s="1">
        <f t="shared" si="1"/>
        <v>376.66706334895395</v>
      </c>
      <c r="D24" s="68" t="str">
        <f t="shared" si="2"/>
        <v>2835.64337018608-456.367206043523i</v>
      </c>
      <c r="E24" s="1">
        <f t="shared" si="3"/>
        <v>69.164089032765929</v>
      </c>
      <c r="F24" s="1">
        <f t="shared" si="4"/>
        <v>-9.142758506778085</v>
      </c>
      <c r="G24" s="1" t="str">
        <f t="shared" si="5"/>
        <v>-0.014116237666808+0.105162099075534i</v>
      </c>
      <c r="H24" s="1">
        <f t="shared" si="6"/>
        <v>-19.485258231728469</v>
      </c>
      <c r="I24" s="1">
        <f t="shared" si="7"/>
        <v>97.645291393903875</v>
      </c>
      <c r="J24" s="1" t="str">
        <f t="shared" si="8"/>
        <v>7.96391758491848+304.644396982237i</v>
      </c>
      <c r="K24" s="1">
        <f t="shared" si="9"/>
        <v>49.678830801037456</v>
      </c>
      <c r="L24" s="1">
        <f t="shared" si="10"/>
        <v>88.502532887125795</v>
      </c>
    </row>
    <row r="25" spans="1:12">
      <c r="A25" s="121">
        <f t="shared" si="11"/>
        <v>1.8888888888888888</v>
      </c>
      <c r="B25" s="1">
        <f t="shared" si="0"/>
        <v>77.426368268112768</v>
      </c>
      <c r="C25" s="1">
        <f t="shared" si="1"/>
        <v>486.48421949048191</v>
      </c>
      <c r="D25" s="68" t="str">
        <f t="shared" si="2"/>
        <v>2788.60537153417-579.643525990682i</v>
      </c>
      <c r="E25" s="1">
        <f t="shared" si="3"/>
        <v>69.091443527517612</v>
      </c>
      <c r="F25" s="1">
        <f t="shared" si="4"/>
        <v>-11.74237364158507</v>
      </c>
      <c r="G25" s="1" t="str">
        <f t="shared" si="5"/>
        <v>-0.0141162206672739+0.0814329977438182i</v>
      </c>
      <c r="H25" s="1">
        <f t="shared" si="6"/>
        <v>-21.655410948698538</v>
      </c>
      <c r="I25" s="1">
        <f t="shared" si="7"/>
        <v>99.834361602105403</v>
      </c>
      <c r="J25" s="1" t="str">
        <f t="shared" si="8"/>
        <v>7.83754116569636+235.266870849783i</v>
      </c>
      <c r="K25" s="1">
        <f t="shared" si="9"/>
        <v>47.436032578819088</v>
      </c>
      <c r="L25" s="1">
        <f t="shared" si="10"/>
        <v>88.091987960520342</v>
      </c>
    </row>
    <row r="26" spans="1:12">
      <c r="A26" s="121">
        <f t="shared" si="11"/>
        <v>2</v>
      </c>
      <c r="B26" s="1">
        <f t="shared" si="0"/>
        <v>100</v>
      </c>
      <c r="C26" s="1">
        <f t="shared" si="1"/>
        <v>628.31853071795865</v>
      </c>
      <c r="D26" s="68" t="str">
        <f t="shared" si="2"/>
        <v>2713.52048110661-728.480858934668i</v>
      </c>
      <c r="E26" s="1">
        <f t="shared" si="3"/>
        <v>68.972903970569135</v>
      </c>
      <c r="F26" s="1">
        <f t="shared" si="4"/>
        <v>-15.027483328611304</v>
      </c>
      <c r="G26" s="1" t="str">
        <f t="shared" si="5"/>
        <v>-0.0141161923104327+0.0630632745658622i</v>
      </c>
      <c r="H26" s="1">
        <f t="shared" si="6"/>
        <v>-23.792141889302243</v>
      </c>
      <c r="I26" s="1">
        <f t="shared" si="7"/>
        <v>102.61720150578032</v>
      </c>
      <c r="J26" s="1" t="str">
        <f t="shared" si="8"/>
        <v>7.63581147337334+181.406863039308i</v>
      </c>
      <c r="K26" s="1">
        <f t="shared" si="9"/>
        <v>45.180762081266906</v>
      </c>
      <c r="L26" s="1">
        <f t="shared" si="10"/>
        <v>87.589718177169004</v>
      </c>
    </row>
    <row r="27" spans="1:12">
      <c r="A27" s="121">
        <f t="shared" si="11"/>
        <v>2.1111111111111112</v>
      </c>
      <c r="B27" s="1">
        <f t="shared" si="0"/>
        <v>129.15496650148842</v>
      </c>
      <c r="C27" s="1">
        <f t="shared" si="1"/>
        <v>811.50458787142372</v>
      </c>
      <c r="D27" s="68" t="str">
        <f t="shared" si="2"/>
        <v>2596.88249488694-900.426879653597i</v>
      </c>
      <c r="E27" s="1">
        <f t="shared" si="3"/>
        <v>68.782095920490761</v>
      </c>
      <c r="F27" s="1">
        <f t="shared" si="4"/>
        <v>-19.123158947850332</v>
      </c>
      <c r="G27" s="1" t="str">
        <f t="shared" si="5"/>
        <v>-0.0141161450086244+0.0488439565161085i</v>
      </c>
      <c r="H27" s="1">
        <f t="shared" si="6"/>
        <v>-25.875398493907149</v>
      </c>
      <c r="I27" s="1">
        <f t="shared" si="7"/>
        <v>106.119555412729</v>
      </c>
      <c r="J27" s="1" t="str">
        <f t="shared" si="8"/>
        <v>7.32244148755319+139.552572060554i</v>
      </c>
      <c r="K27" s="1">
        <f t="shared" si="9"/>
        <v>42.906697426583584</v>
      </c>
      <c r="L27" s="1">
        <f t="shared" si="10"/>
        <v>86.996396464878671</v>
      </c>
    </row>
    <row r="28" spans="1:12">
      <c r="A28" s="121">
        <f t="shared" si="11"/>
        <v>2.2222222222222223</v>
      </c>
      <c r="B28" s="1">
        <f t="shared" si="0"/>
        <v>166.81005372000601</v>
      </c>
      <c r="C28" s="1">
        <f t="shared" si="1"/>
        <v>1048.0984786233792</v>
      </c>
      <c r="D28" s="68" t="str">
        <f t="shared" si="2"/>
        <v>2423.13940855494-1085.13972906493i</v>
      </c>
      <c r="E28" s="1">
        <f t="shared" si="3"/>
        <v>68.481356939374379</v>
      </c>
      <c r="F28" s="1">
        <f t="shared" si="4"/>
        <v>-24.123975597745435</v>
      </c>
      <c r="G28" s="1" t="str">
        <f t="shared" si="5"/>
        <v>-0.0141160661051578+0.037839222570566i</v>
      </c>
      <c r="H28" s="1">
        <f t="shared" si="6"/>
        <v>-27.875273769386265</v>
      </c>
      <c r="I28" s="1">
        <f t="shared" si="7"/>
        <v>110.45822181367326</v>
      </c>
      <c r="J28" s="1" t="str">
        <f t="shared" si="8"/>
        <v>6.85564765507707+107.007615548634i</v>
      </c>
      <c r="K28" s="1">
        <f t="shared" si="9"/>
        <v>40.606083169988153</v>
      </c>
      <c r="L28" s="1">
        <f t="shared" si="10"/>
        <v>86.334246215927848</v>
      </c>
    </row>
    <row r="29" spans="1:12">
      <c r="A29" s="121">
        <f t="shared" si="11"/>
        <v>2.333333333333333</v>
      </c>
      <c r="B29" s="1">
        <f t="shared" si="0"/>
        <v>215.44346900318828</v>
      </c>
      <c r="C29" s="1">
        <f t="shared" si="1"/>
        <v>1353.6712389686331</v>
      </c>
      <c r="D29" s="68" t="str">
        <f t="shared" si="2"/>
        <v>2179.85964411558-1260.80204859727i</v>
      </c>
      <c r="E29" s="1">
        <f t="shared" si="3"/>
        <v>68.021858244963497</v>
      </c>
      <c r="F29" s="1">
        <f t="shared" si="4"/>
        <v>-30.044521729285428</v>
      </c>
      <c r="G29" s="1" t="str">
        <f t="shared" si="5"/>
        <v>-0.0141159344882058+0.0293248141297872i</v>
      </c>
      <c r="H29" s="1">
        <f t="shared" si="6"/>
        <v>-29.750202524251211</v>
      </c>
      <c r="I29" s="1">
        <f t="shared" si="7"/>
        <v>115.70452823700943</v>
      </c>
      <c r="J29" s="1" t="str">
        <f t="shared" si="8"/>
        <v>6.20202979975073+81.7213780133082i</v>
      </c>
      <c r="K29" s="1">
        <f t="shared" si="9"/>
        <v>38.271655720712282</v>
      </c>
      <c r="L29" s="1">
        <f t="shared" si="10"/>
        <v>85.660006507724006</v>
      </c>
    </row>
    <row r="30" spans="1:12">
      <c r="A30" s="121">
        <f t="shared" si="11"/>
        <v>2.4444444444444446</v>
      </c>
      <c r="B30" s="1">
        <f t="shared" si="0"/>
        <v>278.25594022071277</v>
      </c>
      <c r="C30" s="1">
        <f t="shared" si="1"/>
        <v>1748.3336352302238</v>
      </c>
      <c r="D30" s="68" t="str">
        <f t="shared" si="2"/>
        <v>1867.15756017397-1394.79522856498i</v>
      </c>
      <c r="E30" s="1">
        <f t="shared" si="3"/>
        <v>67.349382606163346</v>
      </c>
      <c r="F30" s="1">
        <f t="shared" si="4"/>
        <v>-36.760293181659911</v>
      </c>
      <c r="G30" s="1" t="str">
        <f t="shared" si="5"/>
        <v>-0.0141157149433592+0.0227403690010128i</v>
      </c>
      <c r="H30" s="1">
        <f t="shared" si="6"/>
        <v>-31.44857886727824</v>
      </c>
      <c r="I30" s="1">
        <f t="shared" si="7"/>
        <v>121.82927111221206</v>
      </c>
      <c r="J30" s="1" t="str">
        <f t="shared" si="8"/>
        <v>5.36189430466582+62.1483837521676i</v>
      </c>
      <c r="K30" s="1">
        <f t="shared" si="9"/>
        <v>35.900803738885109</v>
      </c>
      <c r="L30" s="1">
        <f t="shared" si="10"/>
        <v>85.068977930552137</v>
      </c>
    </row>
    <row r="31" spans="1:12">
      <c r="A31" s="121">
        <f t="shared" si="11"/>
        <v>2.5555555555555554</v>
      </c>
      <c r="B31" s="1">
        <f t="shared" si="0"/>
        <v>359.38136638046274</v>
      </c>
      <c r="C31" s="1">
        <f t="shared" si="1"/>
        <v>2258.0597209158473</v>
      </c>
      <c r="D31" s="68" t="str">
        <f t="shared" si="2"/>
        <v>1506.63495171712-1453.61245303666i</v>
      </c>
      <c r="E31" s="1">
        <f t="shared" si="3"/>
        <v>66.417653313689655</v>
      </c>
      <c r="F31" s="1">
        <f t="shared" si="4"/>
        <v>-43.973855844256626</v>
      </c>
      <c r="G31" s="1" t="str">
        <f t="shared" si="5"/>
        <v>-0.0141153487356792+0.0176525417959009i</v>
      </c>
      <c r="H31" s="1">
        <f t="shared" si="6"/>
        <v>-32.917020950413146</v>
      </c>
      <c r="I31" s="1">
        <f t="shared" si="7"/>
        <v>128.64657600252326</v>
      </c>
      <c r="J31" s="1" t="str">
        <f t="shared" si="8"/>
        <v>4.39327682142133+47.1141831574902i</v>
      </c>
      <c r="K31" s="1">
        <f t="shared" si="9"/>
        <v>33.50063236327653</v>
      </c>
      <c r="L31" s="1">
        <f t="shared" si="10"/>
        <v>84.672720158266657</v>
      </c>
    </row>
    <row r="32" spans="1:12">
      <c r="A32" s="121">
        <f t="shared" si="11"/>
        <v>2.6666666666666665</v>
      </c>
      <c r="B32" s="1">
        <f t="shared" si="0"/>
        <v>464.15888336127819</v>
      </c>
      <c r="C32" s="1">
        <f t="shared" si="1"/>
        <v>2916.3962761324665</v>
      </c>
      <c r="D32" s="68" t="str">
        <f t="shared" si="2"/>
        <v>1139.58799671-1420.03671751567i</v>
      </c>
      <c r="E32" s="1">
        <f t="shared" si="3"/>
        <v>65.205051593257636</v>
      </c>
      <c r="F32" s="1">
        <f t="shared" si="4"/>
        <v>-51.252747700370826</v>
      </c>
      <c r="G32" s="1" t="str">
        <f t="shared" si="5"/>
        <v>-0.0141147379067338+0.0137264833941984i</v>
      </c>
      <c r="H32" s="1">
        <f t="shared" si="6"/>
        <v>-34.115689810843087</v>
      </c>
      <c r="I32" s="1">
        <f t="shared" si="7"/>
        <v>135.79895572262492</v>
      </c>
      <c r="J32" s="1" t="str">
        <f t="shared" si="8"/>
        <v>3.40712452690938+35.6859817987399i</v>
      </c>
      <c r="K32" s="1">
        <f t="shared" si="9"/>
        <v>31.089361782414553</v>
      </c>
      <c r="L32" s="1">
        <f t="shared" si="10"/>
        <v>84.546208022254106</v>
      </c>
    </row>
    <row r="33" spans="1:30">
      <c r="A33" s="121">
        <f t="shared" si="11"/>
        <v>2.7777777777777777</v>
      </c>
      <c r="B33" s="1">
        <f t="shared" si="0"/>
        <v>599.48425031894124</v>
      </c>
      <c r="C33" s="1">
        <f t="shared" si="1"/>
        <v>3766.6706334895407</v>
      </c>
      <c r="D33" s="68" t="str">
        <f t="shared" si="2"/>
        <v>810.296900839206-1304.08829470487i</v>
      </c>
      <c r="E33" s="1">
        <f t="shared" si="3"/>
        <v>63.724014710160915</v>
      </c>
      <c r="F33" s="1">
        <f t="shared" si="4"/>
        <v>-58.145196926450382</v>
      </c>
      <c r="G33" s="1" t="str">
        <f t="shared" si="5"/>
        <v>-0.0141137191002779+0.0107038020547891i</v>
      </c>
      <c r="H33" s="1">
        <f t="shared" si="6"/>
        <v>-35.033907342173102</v>
      </c>
      <c r="I33" s="1">
        <f t="shared" si="7"/>
        <v>142.82342969352177</v>
      </c>
      <c r="J33" s="1" t="str">
        <f t="shared" si="8"/>
        <v>2.52240012221811+27.0787935056169i</v>
      </c>
      <c r="K33" s="1">
        <f t="shared" si="9"/>
        <v>28.690107367987828</v>
      </c>
      <c r="L33" s="1">
        <f t="shared" si="10"/>
        <v>84.678232767071393</v>
      </c>
    </row>
    <row r="34" spans="1:30">
      <c r="A34" s="121">
        <f t="shared" si="11"/>
        <v>2.8888888888888888</v>
      </c>
      <c r="B34" s="1">
        <f t="shared" si="0"/>
        <v>774.26368268112776</v>
      </c>
      <c r="C34" s="1">
        <f t="shared" si="1"/>
        <v>4864.8421949048197</v>
      </c>
      <c r="D34" s="68" t="str">
        <f t="shared" si="2"/>
        <v>546.756051196882-1136.49499713236i</v>
      </c>
      <c r="E34" s="1">
        <f t="shared" si="3"/>
        <v>62.015508914317067</v>
      </c>
      <c r="F34" s="1">
        <f t="shared" si="4"/>
        <v>-64.308271347357362</v>
      </c>
      <c r="G34" s="1" t="str">
        <f t="shared" si="5"/>
        <v>-0.014112019955934+0.00838555488903473i</v>
      </c>
      <c r="H34" s="1">
        <f t="shared" si="6"/>
        <v>-35.69494996023635</v>
      </c>
      <c r="I34" s="1">
        <f t="shared" si="7"/>
        <v>149.28064046370301</v>
      </c>
      <c r="J34" s="1" t="str">
        <f t="shared" si="8"/>
        <v>1.8143088740487+20.6230929575744i</v>
      </c>
      <c r="K34" s="1">
        <f t="shared" si="9"/>
        <v>26.320558954080724</v>
      </c>
      <c r="L34" s="1">
        <f t="shared" si="10"/>
        <v>84.972369116345661</v>
      </c>
    </row>
    <row r="35" spans="1:30">
      <c r="A35" s="121">
        <f t="shared" si="11"/>
        <v>3</v>
      </c>
      <c r="B35" s="1">
        <f t="shared" si="0"/>
        <v>1000</v>
      </c>
      <c r="C35" s="1">
        <f t="shared" si="1"/>
        <v>6283.1853071795858</v>
      </c>
      <c r="D35" s="68" t="str">
        <f t="shared" si="2"/>
        <v>354.453439912425-951.577657723995i</v>
      </c>
      <c r="E35" s="1">
        <f t="shared" si="3"/>
        <v>60.133164886268091</v>
      </c>
      <c r="F35" s="1">
        <f t="shared" si="4"/>
        <v>-69.570126106722157</v>
      </c>
      <c r="G35" s="1" t="str">
        <f t="shared" si="5"/>
        <v>-0.0141091865225817+0.00661914851892435i</v>
      </c>
      <c r="H35" s="1">
        <f t="shared" si="6"/>
        <v>-36.146041842265021</v>
      </c>
      <c r="I35" s="1">
        <f t="shared" si="7"/>
        <v>154.86696520167098</v>
      </c>
      <c r="J35" s="1" t="str">
        <f t="shared" si="8"/>
        <v>1.29758414647017+15.7721666253732i</v>
      </c>
      <c r="K35" s="1">
        <f t="shared" si="9"/>
        <v>23.987123044003052</v>
      </c>
      <c r="L35" s="1">
        <f t="shared" si="10"/>
        <v>85.296839094948851</v>
      </c>
    </row>
    <row r="36" spans="1:30">
      <c r="A36" s="121">
        <f t="shared" si="11"/>
        <v>3.1111111111111112</v>
      </c>
      <c r="B36" s="1">
        <f t="shared" si="0"/>
        <v>1291.5496650148843</v>
      </c>
      <c r="C36" s="1">
        <f t="shared" si="1"/>
        <v>8115.0458787142379</v>
      </c>
      <c r="D36" s="68" t="str">
        <f t="shared" si="2"/>
        <v>223.390766237774-774.57124449392i</v>
      </c>
      <c r="E36" s="1">
        <f t="shared" si="3"/>
        <v>58.128225109347341</v>
      </c>
      <c r="F36" s="1">
        <f t="shared" si="4"/>
        <v>-73.912136947128232</v>
      </c>
      <c r="G36" s="1" t="str">
        <f t="shared" si="5"/>
        <v>-0.0141044626020225+0.00528828296455992i</v>
      </c>
      <c r="H36" s="1">
        <f t="shared" si="6"/>
        <v>-36.441620550283901</v>
      </c>
      <c r="I36" s="1">
        <f t="shared" si="7"/>
        <v>159.44712633070733</v>
      </c>
      <c r="J36" s="1" t="str">
        <f t="shared" si="8"/>
        <v>0.94534520905734+12.1062647341017i</v>
      </c>
      <c r="K36" s="1">
        <f t="shared" si="9"/>
        <v>21.686604559063419</v>
      </c>
      <c r="L36" s="1">
        <f t="shared" si="10"/>
        <v>85.534989383579088</v>
      </c>
    </row>
    <row r="37" spans="1:30">
      <c r="A37" s="121">
        <f t="shared" si="11"/>
        <v>3.2222222222222223</v>
      </c>
      <c r="B37" s="1">
        <f t="shared" si="0"/>
        <v>1668.1005372000604</v>
      </c>
      <c r="C37" s="1">
        <f t="shared" si="1"/>
        <v>10480.984786233794</v>
      </c>
      <c r="D37" s="68" t="str">
        <f t="shared" si="2"/>
        <v>138.168741037789-618.752638356882i</v>
      </c>
      <c r="E37" s="1">
        <f t="shared" si="3"/>
        <v>56.041670935780289</v>
      </c>
      <c r="F37" s="1">
        <f t="shared" si="4"/>
        <v>-77.412246980298988</v>
      </c>
      <c r="G37" s="1" t="str">
        <f t="shared" si="5"/>
        <v>-0.0140965896629406+0.00430526869328927i</v>
      </c>
      <c r="H37" s="1">
        <f t="shared" si="6"/>
        <v>-36.630418568119204</v>
      </c>
      <c r="I37" s="1">
        <f t="shared" si="7"/>
        <v>163.01669587195082</v>
      </c>
      <c r="J37" s="1" t="str">
        <f t="shared" si="8"/>
        <v>0.716188316153209+9.31715560096003i</v>
      </c>
      <c r="K37" s="1">
        <f t="shared" si="9"/>
        <v>19.411252367661092</v>
      </c>
      <c r="L37" s="1">
        <f t="shared" si="10"/>
        <v>85.604448891651828</v>
      </c>
    </row>
    <row r="38" spans="1:30">
      <c r="A38" s="121">
        <f t="shared" si="11"/>
        <v>3.333333333333333</v>
      </c>
      <c r="B38" s="1">
        <f t="shared" si="0"/>
        <v>2154.4346900318833</v>
      </c>
      <c r="C38" s="1">
        <f t="shared" si="1"/>
        <v>13536.712389686336</v>
      </c>
      <c r="D38" s="68" t="str">
        <f t="shared" si="2"/>
        <v>84.436188220672-488.367768868719i</v>
      </c>
      <c r="E38" s="1">
        <f t="shared" si="3"/>
        <v>53.902859124906442</v>
      </c>
      <c r="F38" s="1">
        <f t="shared" si="4"/>
        <v>-80.190837841223527</v>
      </c>
      <c r="G38" s="1" t="str">
        <f t="shared" si="5"/>
        <v>-0.0140834763496092+0.00360519357854285i</v>
      </c>
      <c r="H38" s="1">
        <f t="shared" si="6"/>
        <v>-36.75014748369329</v>
      </c>
      <c r="I38" s="1">
        <f t="shared" si="7"/>
        <v>165.64133684033197</v>
      </c>
      <c r="J38" s="1" t="str">
        <f t="shared" si="8"/>
        <v>0.571505284435819+7.18232472634382i</v>
      </c>
      <c r="K38" s="1">
        <f t="shared" si="9"/>
        <v>17.152711641213156</v>
      </c>
      <c r="L38" s="1">
        <f t="shared" si="10"/>
        <v>85.450498999108476</v>
      </c>
    </row>
    <row r="39" spans="1:30">
      <c r="A39" s="121">
        <f t="shared" si="11"/>
        <v>3.4444444444444446</v>
      </c>
      <c r="B39" s="1">
        <f t="shared" si="0"/>
        <v>2782.5594022071282</v>
      </c>
      <c r="C39" s="1">
        <f t="shared" si="1"/>
        <v>17483.336352302242</v>
      </c>
      <c r="D39" s="68" t="str">
        <f t="shared" si="2"/>
        <v>51.2135193659174-382.57281534905i</v>
      </c>
      <c r="E39" s="1">
        <f t="shared" si="3"/>
        <v>51.731419145082754</v>
      </c>
      <c r="F39" s="1">
        <f t="shared" si="4"/>
        <v>-82.375368314431455</v>
      </c>
      <c r="G39" s="1" t="str">
        <f t="shared" si="5"/>
        <v>-0.0140616562324037+0.00314151844819448i</v>
      </c>
      <c r="H39" s="1">
        <f t="shared" si="6"/>
        <v>-36.827740855904793</v>
      </c>
      <c r="I39" s="1">
        <f t="shared" si="7"/>
        <v>167.40634168369024</v>
      </c>
      <c r="J39" s="1" t="str">
        <f t="shared" si="8"/>
        <v>0.481712653421661+5.54049562918619i</v>
      </c>
      <c r="K39" s="1">
        <f t="shared" si="9"/>
        <v>14.903678289177957</v>
      </c>
      <c r="L39" s="1">
        <f t="shared" si="10"/>
        <v>85.030973369258788</v>
      </c>
    </row>
    <row r="40" spans="1:30">
      <c r="A40" s="121">
        <f t="shared" si="11"/>
        <v>3.5555555555555554</v>
      </c>
      <c r="B40" s="1">
        <f t="shared" si="0"/>
        <v>3593.813663804628</v>
      </c>
      <c r="C40" s="1">
        <f t="shared" si="1"/>
        <v>22580.597209158477</v>
      </c>
      <c r="D40" s="68" t="str">
        <f t="shared" ref="D40:D62" si="12">IMPRODUCT(COMPLEX(1/(Kff*(Rcs+Rs)),0),IMDIV(COMPLEX(1,0),COMPLEX(1,(C40*Lm)/(Rcs+Rs))))</f>
        <v>30.9197112458284-298.315642153458i</v>
      </c>
      <c r="E40" s="1">
        <f t="shared" si="3"/>
        <v>49.53992722621134</v>
      </c>
      <c r="F40" s="1">
        <f t="shared" si="4"/>
        <v>-84.082557537117836</v>
      </c>
      <c r="G40" s="1" t="str">
        <f t="shared" ref="G40:G62" si="13">IMPRODUCT(COMPLEX(-(gm*Acs*Rcs)/(IL_Comp_Ccomp+IL_Comp_Chf),0),IMDIV(COMPLEX(1,C40*IL_Comp_Rcomp*IL_Comp_Ccomp),IMPRODUCT(COMPLEX(0,C40),COMPLEX(1,C40*IL_Comp_Rcomp*((IL_Comp_Ccomp*IL_Comp_Chf)/(IL_Comp_Ccomp+IL_Comp_Chf))))))</f>
        <v>-0.0140254081579579+0.00288273254014295i</v>
      </c>
      <c r="H40" s="1">
        <f t="shared" si="6"/>
        <v>-36.881990663138652</v>
      </c>
      <c r="I40" s="1">
        <f t="shared" si="7"/>
        <v>168.38538041396362</v>
      </c>
      <c r="J40" s="1" t="str">
        <f t="shared" si="8"/>
        <v>0.426302638520469+4.27313189884573i</v>
      </c>
      <c r="K40" s="1">
        <f t="shared" si="9"/>
        <v>12.657936563072683</v>
      </c>
      <c r="L40" s="1">
        <f t="shared" si="10"/>
        <v>84.302822876845781</v>
      </c>
    </row>
    <row r="41" spans="1:30">
      <c r="A41" s="121">
        <f t="shared" si="11"/>
        <v>3.6666666666666665</v>
      </c>
      <c r="B41" s="1">
        <f t="shared" si="0"/>
        <v>4641.5888336127782</v>
      </c>
      <c r="C41" s="1">
        <f t="shared" si="1"/>
        <v>29163.962761324641</v>
      </c>
      <c r="D41" s="68" t="str">
        <f t="shared" si="12"/>
        <v>18.6151234173579-231.962418260367i</v>
      </c>
      <c r="E41" s="1">
        <f t="shared" si="3"/>
        <v>47.33623213076811</v>
      </c>
      <c r="F41" s="1">
        <f t="shared" si="4"/>
        <v>-85.411811968305102</v>
      </c>
      <c r="G41" s="1" t="str">
        <f t="shared" si="13"/>
        <v>-0.0139653568151243+0.00280968539398668i</v>
      </c>
      <c r="H41" s="1">
        <f t="shared" si="6"/>
        <v>-36.926633260801317</v>
      </c>
      <c r="I41" s="1">
        <f t="shared" si="7"/>
        <v>168.62454166502076</v>
      </c>
      <c r="J41" s="1" t="str">
        <f t="shared" si="8"/>
        <v>0.391774577859003+3.29174057907814i</v>
      </c>
      <c r="K41" s="1">
        <f t="shared" si="9"/>
        <v>10.409598869966795</v>
      </c>
      <c r="L41" s="1">
        <f t="shared" si="10"/>
        <v>83.21272969671567</v>
      </c>
    </row>
    <row r="42" spans="1:30">
      <c r="A42" s="121">
        <f t="shared" si="11"/>
        <v>3.7777777777777777</v>
      </c>
      <c r="B42" s="1">
        <f t="shared" si="0"/>
        <v>5994.8425031894185</v>
      </c>
      <c r="C42" s="1">
        <f t="shared" si="1"/>
        <v>37666.706334895447</v>
      </c>
      <c r="D42" s="68" t="str">
        <f t="shared" si="12"/>
        <v>11.1881471820294-180.061552307665i</v>
      </c>
      <c r="E42" s="1">
        <f t="shared" si="3"/>
        <v>45.125154641184778</v>
      </c>
      <c r="F42" s="1">
        <f t="shared" si="4"/>
        <v>-86.444490510602037</v>
      </c>
      <c r="G42" s="1" t="str">
        <f t="shared" si="13"/>
        <v>-0.0138663213608807+0.00291309004059667i</v>
      </c>
      <c r="H42" s="1">
        <f t="shared" si="6"/>
        <v>-36.973207326650353</v>
      </c>
      <c r="I42" s="1">
        <f t="shared" si="7"/>
        <v>168.13562016343303</v>
      </c>
      <c r="J42" s="1" t="str">
        <f t="shared" si="8"/>
        <v>0.369397070462984+2.52938342916581i</v>
      </c>
      <c r="K42" s="1">
        <f t="shared" si="9"/>
        <v>8.1519473145344143</v>
      </c>
      <c r="L42" s="1">
        <f t="shared" si="10"/>
        <v>81.691129652831009</v>
      </c>
    </row>
    <row r="43" spans="1:30">
      <c r="A43" s="121">
        <f t="shared" si="11"/>
        <v>3.8888888888888888</v>
      </c>
      <c r="B43" s="1">
        <f t="shared" si="0"/>
        <v>7742.6368268112792</v>
      </c>
      <c r="C43" s="1">
        <f t="shared" si="1"/>
        <v>48648.421949048206</v>
      </c>
      <c r="D43" s="68" t="str">
        <f t="shared" si="12"/>
        <v>6.71746529889117-139.630200505106i</v>
      </c>
      <c r="E43" s="1">
        <f t="shared" si="3"/>
        <v>42.909627247925272</v>
      </c>
      <c r="F43" s="1">
        <f t="shared" si="4"/>
        <v>-87.245682613098438</v>
      </c>
      <c r="G43" s="1" t="str">
        <f t="shared" si="13"/>
        <v>-0.013704209469819+0.00319039945237667i</v>
      </c>
      <c r="H43" s="1">
        <f t="shared" si="6"/>
        <v>-37.033698928091979</v>
      </c>
      <c r="I43" s="1">
        <f t="shared" si="7"/>
        <v>166.89472513793638</v>
      </c>
      <c r="J43" s="1" t="str">
        <f t="shared" si="8"/>
        <v>0.35341856366449+1.93495291364574i</v>
      </c>
      <c r="K43" s="1">
        <f t="shared" si="9"/>
        <v>5.8759283198332906</v>
      </c>
      <c r="L43" s="1">
        <f t="shared" si="10"/>
        <v>79.649042524837938</v>
      </c>
    </row>
    <row r="44" spans="1:30">
      <c r="A44" s="121">
        <f t="shared" si="11"/>
        <v>4</v>
      </c>
      <c r="B44" s="1">
        <f t="shared" si="0"/>
        <v>10000</v>
      </c>
      <c r="C44" s="1">
        <f t="shared" si="1"/>
        <v>62831.853071795864</v>
      </c>
      <c r="D44" s="68" t="str">
        <f t="shared" si="12"/>
        <v>4.03074245031508-108.210671074519i</v>
      </c>
      <c r="E44" s="1">
        <f t="shared" si="3"/>
        <v>40.691423423739323</v>
      </c>
      <c r="F44" s="1">
        <f t="shared" si="4"/>
        <v>-87.866774079143539</v>
      </c>
      <c r="G44" s="1" t="str">
        <f t="shared" si="13"/>
        <v>-0.0134420643345494+0.00364073573551257i</v>
      </c>
      <c r="H44" s="1">
        <f t="shared" si="6"/>
        <v>-37.123235389540532</v>
      </c>
      <c r="I44" s="1">
        <f t="shared" si="7"/>
        <v>164.84523047064945</v>
      </c>
      <c r="J44" s="1" t="str">
        <f t="shared" si="8"/>
        <v>0.339784957811663+1.46924967034796i</v>
      </c>
      <c r="K44" s="1">
        <f t="shared" si="9"/>
        <v>3.5681880341988026</v>
      </c>
      <c r="L44" s="1">
        <f t="shared" si="10"/>
        <v>76.978456391505944</v>
      </c>
      <c r="AC44" t="s">
        <v>560</v>
      </c>
    </row>
    <row r="45" spans="1:30">
      <c r="A45" s="121">
        <f t="shared" si="11"/>
        <v>4.1111111111111107</v>
      </c>
      <c r="B45" s="1">
        <f t="shared" si="0"/>
        <v>12915.496650148847</v>
      </c>
      <c r="C45" s="1">
        <f t="shared" si="1"/>
        <v>81150.458787142401</v>
      </c>
      <c r="D45" s="68" t="str">
        <f t="shared" si="12"/>
        <v>2.41770830319488-83.8301135166743i</v>
      </c>
      <c r="E45" s="1">
        <f t="shared" si="3"/>
        <v>38.471611951642409</v>
      </c>
      <c r="F45" s="1">
        <f t="shared" si="4"/>
        <v>-88.348014955668276</v>
      </c>
      <c r="G45" s="1" t="str">
        <f t="shared" si="13"/>
        <v>-0.0130264077126207+0.00425590874598032i</v>
      </c>
      <c r="H45" s="1">
        <f t="shared" si="6"/>
        <v>-37.263042799095018</v>
      </c>
      <c r="I45" s="1">
        <f t="shared" si="7"/>
        <v>161.90706422871762</v>
      </c>
      <c r="J45" s="1" t="str">
        <f t="shared" si="8"/>
        <v>0.325279259204532+1.10229478317627i</v>
      </c>
      <c r="K45" s="1">
        <f t="shared" si="9"/>
        <v>1.2085691525473823</v>
      </c>
      <c r="L45" s="1">
        <f t="shared" si="10"/>
        <v>73.559049273049368</v>
      </c>
      <c r="Y45" t="s">
        <v>561</v>
      </c>
      <c r="Z45">
        <f t="array" ref="Z45">INDEX(K8:K62,(MATCH(TRUE,K8:K62&lt;0,)-1))</f>
        <v>1.2085691525473823</v>
      </c>
      <c r="AA45">
        <f t="array" ref="AA45">INDEX(K8:K62,(MATCH(TRUE,K8:K62&lt;0,)-0))</f>
        <v>-1.2326712676954403</v>
      </c>
    </row>
    <row r="46" spans="1:30">
      <c r="A46" s="121">
        <f t="shared" si="11"/>
        <v>4.2222222222222223</v>
      </c>
      <c r="B46" s="1">
        <f t="shared" si="0"/>
        <v>16681.005372000593</v>
      </c>
      <c r="C46" s="1">
        <f t="shared" si="1"/>
        <v>104809.84786233788</v>
      </c>
      <c r="D46" s="68" t="str">
        <f t="shared" si="12"/>
        <v>1.44986065535868-64.928224648704i</v>
      </c>
      <c r="E46" s="1">
        <f t="shared" si="3"/>
        <v>36.250835577988568</v>
      </c>
      <c r="F46" s="1">
        <f t="shared" si="4"/>
        <v>-88.720786012946689</v>
      </c>
      <c r="G46" s="1" t="str">
        <f t="shared" si="13"/>
        <v>-0.0123874489448629+0.00500556379059881i</v>
      </c>
      <c r="H46" s="1">
        <f t="shared" si="6"/>
        <v>-37.483506845684005</v>
      </c>
      <c r="I46" s="1">
        <f t="shared" si="7"/>
        <v>157.99717873295666</v>
      </c>
      <c r="J46" s="1" t="str">
        <f t="shared" si="8"/>
        <v>0.307042295443997+0.811552437914287i</v>
      </c>
      <c r="K46" s="1">
        <f t="shared" si="9"/>
        <v>-1.2326712676954403</v>
      </c>
      <c r="L46" s="1">
        <f t="shared" si="10"/>
        <v>69.27639272000998</v>
      </c>
      <c r="Y46" t="s">
        <v>562</v>
      </c>
      <c r="Z46">
        <f t="array" ref="Z46">INDEX(B8:B62,(MATCH(TRUE,K8:K62&lt;0,)-1))</f>
        <v>12915.496650148847</v>
      </c>
      <c r="AA46">
        <f t="array" ref="AA46">INDEX(B8:B62,(MATCH(TRUE,K8:K62&lt;0,)-0))</f>
        <v>16681.005372000593</v>
      </c>
      <c r="AC46">
        <f>(Z45*AA46-Z46*AA45)/(Z45-AA45)/1000</f>
        <v>14.77966277124948</v>
      </c>
      <c r="AD46" s="236" t="str">
        <f>"Crossover Frequency = "&amp;ROUND(AC46,1)&amp;" kHz"</f>
        <v>Crossover Frequency = 14.8 kHz</v>
      </c>
    </row>
    <row r="47" spans="1:30">
      <c r="A47" s="121">
        <f t="shared" si="11"/>
        <v>4.333333333333333</v>
      </c>
      <c r="B47" s="1">
        <f t="shared" si="0"/>
        <v>21544.346900318837</v>
      </c>
      <c r="C47" s="1">
        <f t="shared" si="1"/>
        <v>135367.12389686337</v>
      </c>
      <c r="D47" s="68" t="str">
        <f t="shared" si="12"/>
        <v>0.869342159940693-50.2816031822959i</v>
      </c>
      <c r="E47" s="1">
        <f t="shared" si="3"/>
        <v>34.029480350042888</v>
      </c>
      <c r="F47" s="1">
        <f t="shared" si="4"/>
        <v>-89.009485153048956</v>
      </c>
      <c r="G47" s="1" t="str">
        <f t="shared" si="13"/>
        <v>-0.0114505420499111+0.00581741556668463i</v>
      </c>
      <c r="H47" s="1">
        <f t="shared" si="6"/>
        <v>-37.826286260478071</v>
      </c>
      <c r="I47" s="1">
        <f t="shared" si="7"/>
        <v>153.06728192240371</v>
      </c>
      <c r="J47" s="1" t="str">
        <f t="shared" si="8"/>
        <v>0.282554542112386+0.580808936189837i</v>
      </c>
      <c r="K47" s="1">
        <f t="shared" si="9"/>
        <v>-3.7968059104351903</v>
      </c>
      <c r="L47" s="1">
        <f t="shared" si="10"/>
        <v>64.057796769354781</v>
      </c>
      <c r="Y47" t="s">
        <v>563</v>
      </c>
      <c r="Z47">
        <f t="array" ref="Z47">INDEX(L8:L62,(MATCH(TRUE,K8:K62&lt;0,)-1))</f>
        <v>73.559049273049368</v>
      </c>
      <c r="AA47">
        <f t="array" ref="AA47">INDEX(L8:L62,(MATCH(TRUE,K8:K62&lt;0,)-0))</f>
        <v>69.27639272000998</v>
      </c>
      <c r="AC47">
        <f>(Z45*AA47-Z47*AA45)/(Z45-AA45)</f>
        <v>71.438862109982708</v>
      </c>
      <c r="AD47" t="str">
        <f>"Phase Margin = "&amp;ROUND(AC47,0)&amp;"°"</f>
        <v>Phase Margin = 71°</v>
      </c>
    </row>
    <row r="48" spans="1:30">
      <c r="A48" s="121">
        <f t="shared" si="11"/>
        <v>4.4444444444444446</v>
      </c>
      <c r="B48" s="1">
        <f t="shared" si="0"/>
        <v>27825.594022071291</v>
      </c>
      <c r="C48" s="1">
        <f t="shared" si="1"/>
        <v>174833.36352302248</v>
      </c>
      <c r="D48" s="68" t="str">
        <f t="shared" si="12"/>
        <v>0.521219317070447-38.9358794347284i</v>
      </c>
      <c r="E48" s="1">
        <f t="shared" si="3"/>
        <v>31.807777960227156</v>
      </c>
      <c r="F48" s="1">
        <f t="shared" si="4"/>
        <v>-89.233049726233418</v>
      </c>
      <c r="G48" s="1" t="str">
        <f t="shared" si="13"/>
        <v>-0.0101677358905436+0.00656273599824277i</v>
      </c>
      <c r="H48" s="1">
        <f t="shared" si="6"/>
        <v>-38.3430363463318</v>
      </c>
      <c r="I48" s="1">
        <f t="shared" si="7"/>
        <v>147.15989545715149</v>
      </c>
      <c r="J48" s="1" t="str">
        <f t="shared" si="8"/>
        <v>0.250226277232511+0.399310363533484i</v>
      </c>
      <c r="K48" s="1">
        <f t="shared" si="9"/>
        <v>-6.535258386104644</v>
      </c>
      <c r="L48" s="1">
        <f t="shared" si="10"/>
        <v>57.926845730918032</v>
      </c>
    </row>
    <row r="49" spans="1:12">
      <c r="A49" s="121">
        <f t="shared" si="11"/>
        <v>4.5555555555555554</v>
      </c>
      <c r="B49" s="1">
        <f t="shared" si="0"/>
        <v>35938.136638046322</v>
      </c>
      <c r="C49" s="1">
        <f t="shared" si="1"/>
        <v>225805.97209158502</v>
      </c>
      <c r="D49" s="68" t="str">
        <f t="shared" si="12"/>
        <v>0.312485195502895-30.1488008793975i</v>
      </c>
      <c r="E49" s="1">
        <f t="shared" si="3"/>
        <v>29.585867399179293</v>
      </c>
      <c r="F49" s="1">
        <f t="shared" si="4"/>
        <v>-89.406164051420731</v>
      </c>
      <c r="G49" s="1" t="str">
        <f t="shared" si="13"/>
        <v>-0.00856679409931584+0.00707039901269239i</v>
      </c>
      <c r="H49" s="1">
        <f t="shared" si="6"/>
        <v>-39.087534623559591</v>
      </c>
      <c r="I49" s="1">
        <f t="shared" si="7"/>
        <v>140.46625213282456</v>
      </c>
      <c r="J49" s="1" t="str">
        <f t="shared" si="8"/>
        <v>0.210487055642594+0.260487964492835i</v>
      </c>
      <c r="K49" s="1">
        <f t="shared" si="9"/>
        <v>-9.5016672243803058</v>
      </c>
      <c r="L49" s="1">
        <f t="shared" si="10"/>
        <v>51.060088081403784</v>
      </c>
    </row>
    <row r="50" spans="1:12">
      <c r="A50" s="121">
        <f t="shared" si="11"/>
        <v>4.6666666666666661</v>
      </c>
      <c r="B50" s="1">
        <f t="shared" si="0"/>
        <v>46415.888336127755</v>
      </c>
      <c r="C50" s="1">
        <f t="shared" si="1"/>
        <v>291639.62761324627</v>
      </c>
      <c r="D50" s="68" t="str">
        <f t="shared" si="12"/>
        <v>0.187338012839271-23.3441259109615i</v>
      </c>
      <c r="E50" s="1">
        <f t="shared" si="3"/>
        <v>27.363832023645898</v>
      </c>
      <c r="F50" s="1">
        <f t="shared" si="4"/>
        <v>-89.540207797630202</v>
      </c>
      <c r="G50" s="1" t="str">
        <f t="shared" si="13"/>
        <v>-0.00678478604042487+0.00718863413816748i</v>
      </c>
      <c r="H50" s="1">
        <f t="shared" si="6"/>
        <v>-40.100619539483958</v>
      </c>
      <c r="I50" s="1">
        <f t="shared" si="7"/>
        <v>133.34454614110956</v>
      </c>
      <c r="J50" s="1" t="str">
        <f t="shared" si="8"/>
        <v>0.166541332114865+0.159731604041085i</v>
      </c>
      <c r="K50" s="1">
        <f t="shared" si="9"/>
        <v>-12.73678751583806</v>
      </c>
      <c r="L50" s="1">
        <f t="shared" si="10"/>
        <v>43.804338343479387</v>
      </c>
    </row>
    <row r="51" spans="1:12">
      <c r="A51" s="121">
        <f t="shared" si="11"/>
        <v>4.7777777777777777</v>
      </c>
      <c r="B51" s="1">
        <f t="shared" si="0"/>
        <v>59948.425031894149</v>
      </c>
      <c r="C51" s="1">
        <f t="shared" si="1"/>
        <v>376667.06334895425</v>
      </c>
      <c r="D51" s="68" t="str">
        <f t="shared" si="12"/>
        <v>0.112309084880414-18.0749750899797i</v>
      </c>
      <c r="E51" s="1">
        <f t="shared" si="3"/>
        <v>25.141721816924949</v>
      </c>
      <c r="F51" s="1">
        <f t="shared" si="4"/>
        <v>-89.643996535374811</v>
      </c>
      <c r="G51" s="1" t="str">
        <f t="shared" si="13"/>
        <v>-0.00503700824119271+0.00686770786793683i</v>
      </c>
      <c r="H51" s="1">
        <f t="shared" si="6"/>
        <v>-41.394412279905424</v>
      </c>
      <c r="I51" s="1">
        <f t="shared" si="7"/>
        <v>126.25757628301824</v>
      </c>
      <c r="J51" s="1" t="str">
        <f t="shared" si="8"/>
        <v>0.123567946852112+0.0918151044734547i</v>
      </c>
      <c r="K51" s="1">
        <f t="shared" si="9"/>
        <v>-16.252690462980489</v>
      </c>
      <c r="L51" s="1">
        <f t="shared" si="10"/>
        <v>36.613579747643506</v>
      </c>
    </row>
    <row r="52" spans="1:12">
      <c r="A52" s="121">
        <f t="shared" si="11"/>
        <v>4.8888888888888893</v>
      </c>
      <c r="B52" s="1">
        <f t="shared" si="0"/>
        <v>77426.368268112885</v>
      </c>
      <c r="C52" s="1">
        <f t="shared" si="1"/>
        <v>486484.21949048265</v>
      </c>
      <c r="D52" s="68" t="str">
        <f t="shared" si="12"/>
        <v>0.0673285686154962-13.9950131741736i</v>
      </c>
      <c r="E52" s="1">
        <f t="shared" si="3"/>
        <v>22.919566747616742</v>
      </c>
      <c r="F52" s="1">
        <f t="shared" si="4"/>
        <v>-89.724358025722452</v>
      </c>
      <c r="G52" s="1" t="str">
        <f t="shared" si="13"/>
        <v>-0.00352310560450485+0.00619048476639469i</v>
      </c>
      <c r="H52" s="1">
        <f t="shared" si="6"/>
        <v>-42.946976875539249</v>
      </c>
      <c r="I52" s="1">
        <f t="shared" si="7"/>
        <v>119.64490845904351</v>
      </c>
      <c r="J52" s="1" t="str">
        <f t="shared" si="8"/>
        <v>0.0863987102027821+0.0497227058274076i</v>
      </c>
      <c r="K52" s="1">
        <f t="shared" si="9"/>
        <v>-20.027410127922515</v>
      </c>
      <c r="L52" s="1">
        <f t="shared" si="10"/>
        <v>29.920550433321054</v>
      </c>
    </row>
    <row r="53" spans="1:12">
      <c r="A53" s="121">
        <f t="shared" si="11"/>
        <v>5</v>
      </c>
      <c r="B53" s="1">
        <f t="shared" si="0"/>
        <v>100000</v>
      </c>
      <c r="C53" s="1">
        <f t="shared" si="1"/>
        <v>628318.53071795858</v>
      </c>
      <c r="D53" s="68" t="str">
        <f t="shared" si="12"/>
        <v>0.0403627906290295-10.8359308843118i</v>
      </c>
      <c r="E53" s="1">
        <f t="shared" si="3"/>
        <v>20.697384783006658</v>
      </c>
      <c r="F53" s="1">
        <f t="shared" si="4"/>
        <v>-89.786579770449606</v>
      </c>
      <c r="G53" s="1" t="str">
        <f t="shared" si="13"/>
        <v>-0.00234661340247878+0.00531839251879948i</v>
      </c>
      <c r="H53" s="1">
        <f t="shared" si="6"/>
        <v>-44.711874729320257</v>
      </c>
      <c r="I53" s="1">
        <f t="shared" si="7"/>
        <v>113.80832205811768</v>
      </c>
      <c r="J53" s="1" t="str">
        <f t="shared" si="8"/>
        <v>0.0575350178839006+0.0256424058051791i</v>
      </c>
      <c r="K53" s="1">
        <f t="shared" si="9"/>
        <v>-24.014489946313603</v>
      </c>
      <c r="L53" s="1">
        <f t="shared" si="10"/>
        <v>24.021742287668079</v>
      </c>
    </row>
    <row r="54" spans="1:12">
      <c r="A54" s="121">
        <f t="shared" si="11"/>
        <v>5.1111111111111107</v>
      </c>
      <c r="B54" s="1">
        <f t="shared" si="0"/>
        <v>129154.96650148838</v>
      </c>
      <c r="C54" s="1">
        <f t="shared" si="1"/>
        <v>811504.58787142346</v>
      </c>
      <c r="D54" s="68" t="str">
        <f t="shared" si="12"/>
        <v>0.0241969917446652-8.38991437485176i</v>
      </c>
      <c r="E54" s="1">
        <f t="shared" si="3"/>
        <v>18.4751866947678</v>
      </c>
      <c r="F54" s="1">
        <f t="shared" si="4"/>
        <v>-89.834756161019783</v>
      </c>
      <c r="G54" s="1" t="str">
        <f t="shared" si="13"/>
        <v>-0.00150709993808638+0.00440807703746364i</v>
      </c>
      <c r="H54" s="1">
        <f t="shared" si="6"/>
        <v>-46.634903673494819</v>
      </c>
      <c r="I54" s="1">
        <f t="shared" si="7"/>
        <v>108.87530682586267</v>
      </c>
      <c r="J54" s="1" t="str">
        <f t="shared" si="8"/>
        <v>0.0369469216173099+0.0127511016385745i</v>
      </c>
      <c r="K54" s="1">
        <f t="shared" si="9"/>
        <v>-28.159716978727015</v>
      </c>
      <c r="L54" s="1">
        <f t="shared" si="10"/>
        <v>19.040550664842915</v>
      </c>
    </row>
    <row r="55" spans="1:12">
      <c r="A55" s="121">
        <f t="shared" si="11"/>
        <v>5.2222222222222223</v>
      </c>
      <c r="B55" s="1">
        <f t="shared" si="0"/>
        <v>166810.05372000611</v>
      </c>
      <c r="C55" s="1">
        <f t="shared" si="1"/>
        <v>1048098.4786233798</v>
      </c>
      <c r="D55" s="68" t="str">
        <f t="shared" si="12"/>
        <v>0.0145057637801808-6.49602764196407i</v>
      </c>
      <c r="E55" s="1">
        <f t="shared" si="3"/>
        <v>16.252978940552769</v>
      </c>
      <c r="F55" s="1">
        <f t="shared" si="4"/>
        <v>-89.872057554615722</v>
      </c>
      <c r="G55" s="1" t="str">
        <f t="shared" si="13"/>
        <v>-0.000943841740569176+0.00356378721303372i</v>
      </c>
      <c r="H55" s="1">
        <f t="shared" si="6"/>
        <v>-48.667352776643156</v>
      </c>
      <c r="I55" s="1">
        <f t="shared" si="7"/>
        <v>104.8337861481926</v>
      </c>
      <c r="J55" s="1" t="str">
        <f t="shared" si="8"/>
        <v>0.0231367691006106+0.00618291749185194i</v>
      </c>
      <c r="K55" s="1">
        <f t="shared" si="9"/>
        <v>-32.414373836090377</v>
      </c>
      <c r="L55" s="1">
        <f t="shared" si="10"/>
        <v>14.961728593576861</v>
      </c>
    </row>
    <row r="56" spans="1:12">
      <c r="A56" s="121">
        <f t="shared" si="11"/>
        <v>5.333333333333333</v>
      </c>
      <c r="B56" s="1">
        <f t="shared" si="0"/>
        <v>215443.46900318863</v>
      </c>
      <c r="C56" s="1">
        <f t="shared" si="1"/>
        <v>1353671.2389686354</v>
      </c>
      <c r="D56" s="68" t="str">
        <f t="shared" si="12"/>
        <v>0.00869599429195927-5.02964832964774i</v>
      </c>
      <c r="E56" s="1">
        <f t="shared" si="3"/>
        <v>14.030765391696082</v>
      </c>
      <c r="F56" s="1">
        <f t="shared" si="4"/>
        <v>-89.900938745119916</v>
      </c>
      <c r="G56" s="1" t="str">
        <f t="shared" si="13"/>
        <v>-0.000581387399152923+0.00283443159962605i</v>
      </c>
      <c r="H56" s="1">
        <f t="shared" si="6"/>
        <v>-50.771700644196933</v>
      </c>
      <c r="I56" s="1">
        <f t="shared" si="7"/>
        <v>101.59150680989536</v>
      </c>
      <c r="J56" s="1" t="str">
        <f t="shared" si="8"/>
        <v>0.0142511384190555+0.00294882236203904i</v>
      </c>
      <c r="K56" s="1">
        <f t="shared" si="9"/>
        <v>-36.740935252500847</v>
      </c>
      <c r="L56" s="1">
        <f t="shared" si="10"/>
        <v>11.690568064775448</v>
      </c>
    </row>
    <row r="57" spans="1:12">
      <c r="A57" s="121">
        <f t="shared" si="11"/>
        <v>5.4444444444444446</v>
      </c>
      <c r="B57" s="1">
        <f t="shared" si="0"/>
        <v>278255.94022071268</v>
      </c>
      <c r="C57" s="1">
        <f t="shared" si="1"/>
        <v>1748333.6352302232</v>
      </c>
      <c r="D57" s="68" t="str">
        <f t="shared" si="12"/>
        <v>0.00521311786025103-3.89427870069388i</v>
      </c>
      <c r="E57" s="1">
        <f t="shared" si="3"/>
        <v>11.808548369028289</v>
      </c>
      <c r="F57" s="1">
        <f t="shared" si="4"/>
        <v>-89.923300437376227</v>
      </c>
      <c r="G57" s="1" t="str">
        <f t="shared" si="13"/>
        <v>-0.000354378235099097+0.00223102566854258i</v>
      </c>
      <c r="H57" s="1">
        <f t="shared" si="6"/>
        <v>-52.921693706978047</v>
      </c>
      <c r="I57" s="1">
        <f t="shared" si="7"/>
        <v>99.025514152366725</v>
      </c>
      <c r="J57" s="1" t="str">
        <f t="shared" si="8"/>
        <v>0.00868638832620001+0.00139167821269526i</v>
      </c>
      <c r="K57" s="1">
        <f t="shared" si="9"/>
        <v>-41.113145337949753</v>
      </c>
      <c r="L57" s="1">
        <f t="shared" si="10"/>
        <v>9.1022137149905209</v>
      </c>
    </row>
    <row r="58" spans="1:12">
      <c r="A58" s="121">
        <f t="shared" si="11"/>
        <v>5.5555555555555554</v>
      </c>
      <c r="B58" s="1">
        <f t="shared" si="0"/>
        <v>359381.36638046295</v>
      </c>
      <c r="C58" s="1">
        <f t="shared" si="1"/>
        <v>2258059.7209158484</v>
      </c>
      <c r="D58" s="68" t="str">
        <f t="shared" si="12"/>
        <v>0.00312518429530895-3.01520073227971i</v>
      </c>
      <c r="E58" s="1">
        <f t="shared" si="3"/>
        <v>9.5863292638599962</v>
      </c>
      <c r="F58" s="1">
        <f t="shared" si="4"/>
        <v>-89.940614299975294</v>
      </c>
      <c r="G58" s="1" t="str">
        <f t="shared" si="13"/>
        <v>-0.000214601917457076+0.00174476883996079i</v>
      </c>
      <c r="H58" s="1">
        <f t="shared" si="6"/>
        <v>-55.100032526426546</v>
      </c>
      <c r="I58" s="1">
        <f t="shared" si="7"/>
        <v>97.01200968363186</v>
      </c>
      <c r="J58" s="1" t="str">
        <f t="shared" si="8"/>
        <v>0.00526015761336641+0.000652520582842795i</v>
      </c>
      <c r="K58" s="1">
        <f t="shared" si="9"/>
        <v>-45.513703262566551</v>
      </c>
      <c r="L58" s="1">
        <f t="shared" si="10"/>
        <v>7.0713953836565828</v>
      </c>
    </row>
    <row r="59" spans="1:12">
      <c r="A59" s="121">
        <f t="shared" si="11"/>
        <v>5.6666666666666661</v>
      </c>
      <c r="B59" s="1">
        <f t="shared" si="0"/>
        <v>464158.88336127804</v>
      </c>
      <c r="C59" s="1">
        <f t="shared" si="1"/>
        <v>2916396.2761324653</v>
      </c>
      <c r="D59" s="68" t="str">
        <f t="shared" si="12"/>
        <v>0.00187349957048667-2.33456142748223i</v>
      </c>
      <c r="E59" s="1">
        <f t="shared" si="3"/>
        <v>7.3641089102635853</v>
      </c>
      <c r="F59" s="1">
        <f t="shared" si="4"/>
        <v>-89.954019802605686</v>
      </c>
      <c r="G59" s="1" t="str">
        <f t="shared" si="13"/>
        <v>-0.000129438598505997+0.00135910380716238i</v>
      </c>
      <c r="H59" s="1">
        <f t="shared" si="6"/>
        <v>-57.295733119357017</v>
      </c>
      <c r="I59" s="1">
        <f t="shared" si="7"/>
        <v>95.440337908389282</v>
      </c>
      <c r="J59" s="1" t="str">
        <f t="shared" si="8"/>
        <v>0.00317266882098683+0.000304728639698425i</v>
      </c>
      <c r="K59" s="1">
        <f t="shared" si="9"/>
        <v>-49.931624209093442</v>
      </c>
      <c r="L59" s="1">
        <f t="shared" si="10"/>
        <v>5.4863181057836172</v>
      </c>
    </row>
    <row r="60" spans="1:12">
      <c r="A60" s="121">
        <f t="shared" si="11"/>
        <v>5.7777777777777777</v>
      </c>
      <c r="B60" s="1">
        <f t="shared" si="0"/>
        <v>599484.25031894213</v>
      </c>
      <c r="C60" s="1">
        <f t="shared" si="1"/>
        <v>3766670.6334895464</v>
      </c>
      <c r="D60" s="68" t="str">
        <f t="shared" si="12"/>
        <v>0.00112313377518532-1.80756659452842i</v>
      </c>
      <c r="E60" s="1">
        <f t="shared" si="3"/>
        <v>5.1418878082534416</v>
      </c>
      <c r="F60" s="1">
        <f t="shared" si="4"/>
        <v>-89.964399199974139</v>
      </c>
      <c r="G60" s="1" t="str">
        <f t="shared" si="13"/>
        <v>-0.0000778824256153073+0.00105614481325861i</v>
      </c>
      <c r="H60" s="1">
        <f t="shared" si="6"/>
        <v>-59.501978027362924</v>
      </c>
      <c r="I60" s="1">
        <f t="shared" si="7"/>
        <v>94.217482232190974</v>
      </c>
      <c r="J60" s="1" t="str">
        <f t="shared" si="8"/>
        <v>0.00190896461104802+0.000141963862754332i</v>
      </c>
      <c r="K60" s="1">
        <f t="shared" si="9"/>
        <v>-54.36009021910948</v>
      </c>
      <c r="L60" s="1">
        <f t="shared" si="10"/>
        <v>4.2530830322168498</v>
      </c>
    </row>
    <row r="61" spans="1:12">
      <c r="A61" s="121">
        <f t="shared" si="11"/>
        <v>5.8888888888888893</v>
      </c>
      <c r="B61" s="1">
        <f t="shared" si="0"/>
        <v>774263.68268112827</v>
      </c>
      <c r="C61" s="1">
        <f t="shared" si="1"/>
        <v>4864842.1949048229</v>
      </c>
      <c r="D61" s="68" t="str">
        <f t="shared" si="12"/>
        <v>0.000673301113337414-1.39953338458083i</v>
      </c>
      <c r="E61" s="1">
        <f t="shared" si="3"/>
        <v>2.9196662575809231</v>
      </c>
      <c r="F61" s="1">
        <f t="shared" si="4"/>
        <v>-89.972435592044818</v>
      </c>
      <c r="G61" s="1" t="str">
        <f t="shared" si="13"/>
        <v>-0.0000467926867632432+0.000819527518476313i</v>
      </c>
      <c r="H61" s="1">
        <f t="shared" si="6"/>
        <v>-61.714593838904619</v>
      </c>
      <c r="I61" s="1">
        <f t="shared" si="7"/>
        <v>93.267877690916791</v>
      </c>
      <c r="J61" s="1" t="str">
        <f t="shared" si="8"/>
        <v>0.00114692461612219+0.0000660397160699931i</v>
      </c>
      <c r="K61" s="1">
        <f t="shared" si="9"/>
        <v>-58.794927581323691</v>
      </c>
      <c r="L61" s="1">
        <f t="shared" si="10"/>
        <v>3.2954420988719764</v>
      </c>
    </row>
    <row r="62" spans="1:12">
      <c r="A62" s="121">
        <f t="shared" si="11"/>
        <v>6</v>
      </c>
      <c r="B62" s="1">
        <f t="shared" si="0"/>
        <v>1000000</v>
      </c>
      <c r="C62" s="1">
        <f t="shared" si="1"/>
        <v>6283185.307179586</v>
      </c>
      <c r="D62" s="68" t="str">
        <f t="shared" si="12"/>
        <v>0.000403633450584111-1.08360797282932i</v>
      </c>
      <c r="E62" s="1">
        <f t="shared" si="3"/>
        <v>0.6974444379421838</v>
      </c>
      <c r="F62" s="1">
        <f t="shared" si="4"/>
        <v>-89.978657879326235</v>
      </c>
      <c r="G62" s="1" t="str">
        <f t="shared" si="13"/>
        <v>-0.0000280887703056985+0.00063536555811594i</v>
      </c>
      <c r="H62" s="1">
        <f t="shared" si="6"/>
        <v>-63.931046963209177</v>
      </c>
      <c r="I62" s="1">
        <f t="shared" si="7"/>
        <v>92.531331351845239</v>
      </c>
      <c r="J62" s="1" t="str">
        <f t="shared" si="8"/>
        <v>0.000688475846868302+0.000030693670242831i</v>
      </c>
      <c r="K62" s="1">
        <f t="shared" si="9"/>
        <v>-63.233602525267003</v>
      </c>
      <c r="L62" s="1">
        <f t="shared" si="10"/>
        <v>2.5526734725190141</v>
      </c>
    </row>
    <row r="74" spans="2:98" ht="31.5">
      <c r="B74" s="32" t="s">
        <v>161</v>
      </c>
      <c r="C74" s="31"/>
      <c r="D74" s="31"/>
      <c r="E74" s="31"/>
    </row>
    <row r="75" spans="2:98" ht="31.5">
      <c r="B75" s="31"/>
      <c r="C75" s="31"/>
      <c r="D75" s="31"/>
      <c r="E75" s="31"/>
    </row>
    <row r="76" spans="2:98" ht="15.75" thickBot="1">
      <c r="B76" s="301" t="s">
        <v>33</v>
      </c>
      <c r="C76" s="301"/>
      <c r="D76" s="317" t="s">
        <v>31</v>
      </c>
      <c r="E76" s="306"/>
      <c r="F76" s="306"/>
      <c r="G76" s="306"/>
      <c r="H76" s="306"/>
      <c r="I76" s="306"/>
      <c r="J76" s="306"/>
      <c r="K76" s="306"/>
      <c r="L76" s="306"/>
      <c r="M76" s="306"/>
      <c r="N76" s="306"/>
      <c r="O76" s="306"/>
      <c r="P76" s="306"/>
      <c r="Q76" s="306"/>
      <c r="R76" s="306"/>
      <c r="S76" s="306"/>
      <c r="T76" s="306"/>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D76" s="78"/>
      <c r="BE76" s="78"/>
      <c r="BF76" s="78"/>
      <c r="BG76" s="78"/>
      <c r="BH76" s="78"/>
      <c r="BI76" s="78"/>
      <c r="BJ76" s="78"/>
      <c r="BK76" s="78"/>
      <c r="BL76" s="78"/>
      <c r="BM76" s="78"/>
      <c r="BN76" s="78"/>
      <c r="BO76" s="78"/>
      <c r="BP76" s="78"/>
      <c r="BQ76" s="78"/>
      <c r="BR76" s="78"/>
    </row>
    <row r="77" spans="2:98" ht="15.75" thickBot="1">
      <c r="B77" s="302"/>
      <c r="C77" s="302"/>
      <c r="D77" s="303" t="s">
        <v>0</v>
      </c>
      <c r="E77" s="304"/>
      <c r="F77" s="305"/>
      <c r="G77" s="303" t="s">
        <v>288</v>
      </c>
      <c r="H77" s="304"/>
      <c r="I77" s="305"/>
      <c r="J77" s="303" t="s">
        <v>289</v>
      </c>
      <c r="K77" s="304"/>
      <c r="L77" s="305"/>
      <c r="M77" s="303" t="s">
        <v>292</v>
      </c>
      <c r="N77" s="305"/>
      <c r="O77" s="318" t="s">
        <v>335</v>
      </c>
      <c r="P77" s="319"/>
      <c r="Q77" s="320"/>
      <c r="R77" s="321" t="s">
        <v>336</v>
      </c>
      <c r="S77" s="322"/>
      <c r="T77" s="322"/>
      <c r="U77" s="306" t="s">
        <v>295</v>
      </c>
      <c r="V77" s="306"/>
      <c r="W77" s="306"/>
      <c r="X77" s="170" t="s">
        <v>292</v>
      </c>
      <c r="Y77" s="78" t="s">
        <v>289</v>
      </c>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row>
    <row r="78" spans="2:98" ht="45">
      <c r="B78" s="66" t="s">
        <v>35</v>
      </c>
      <c r="C78" s="83" t="s">
        <v>34</v>
      </c>
      <c r="D78" s="85" t="s">
        <v>38</v>
      </c>
      <c r="E78" s="66" t="s">
        <v>36</v>
      </c>
      <c r="F78" s="86" t="s">
        <v>37</v>
      </c>
      <c r="G78" s="85" t="s">
        <v>38</v>
      </c>
      <c r="H78" s="66" t="s">
        <v>36</v>
      </c>
      <c r="I78" s="86" t="s">
        <v>37</v>
      </c>
      <c r="J78" s="85" t="s">
        <v>38</v>
      </c>
      <c r="K78" s="66" t="s">
        <v>36</v>
      </c>
      <c r="L78" s="86" t="s">
        <v>37</v>
      </c>
      <c r="M78" s="92" t="s">
        <v>290</v>
      </c>
      <c r="N78" s="93" t="s">
        <v>291</v>
      </c>
      <c r="O78" s="85" t="s">
        <v>38</v>
      </c>
      <c r="P78" s="66" t="s">
        <v>36</v>
      </c>
      <c r="Q78" s="86" t="s">
        <v>37</v>
      </c>
      <c r="R78" s="94" t="s">
        <v>38</v>
      </c>
      <c r="S78" s="95" t="s">
        <v>36</v>
      </c>
      <c r="T78" s="96" t="s">
        <v>37</v>
      </c>
      <c r="U78" s="94" t="s">
        <v>38</v>
      </c>
      <c r="V78" s="95" t="s">
        <v>36</v>
      </c>
      <c r="W78" s="96" t="s">
        <v>37</v>
      </c>
      <c r="X78" s="180" t="s">
        <v>367</v>
      </c>
      <c r="Y78" s="94" t="s">
        <v>38</v>
      </c>
      <c r="Z78" s="95" t="s">
        <v>36</v>
      </c>
      <c r="AA78" s="96" t="s">
        <v>37</v>
      </c>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c r="BL78" s="76"/>
      <c r="BM78" s="76"/>
      <c r="BN78" s="76"/>
      <c r="BO78" s="76"/>
      <c r="BP78" s="76"/>
      <c r="BQ78" s="76"/>
      <c r="BR78" s="76"/>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row>
    <row r="79" spans="2:98">
      <c r="B79" s="1">
        <v>1</v>
      </c>
      <c r="C79" s="24">
        <f t="shared" ref="C79:C110" si="14">2*PI()*B79</f>
        <v>6.2831853071795862</v>
      </c>
      <c r="D79" s="28" t="str">
        <f>IMDIV(COMPLEX((V12_Nom/(I_Channel_Design*np)),((Zo_Buck_Cout*Zo_Buck_Resr*V12_Nom)/(I_Channel_Design*np))*C79),COMPLEX(1,((Zo_Buck_Cout*Zo_Buck_Resr)+((Zo_Buck_Cout*V12_Nom)/(I_Channel_Design*np)))*C79))</f>
        <v>0.238332976928466-0.0002855214581065i</v>
      </c>
      <c r="E79" s="1">
        <f t="shared" ref="E79:E137" si="15">20*LOG(IMABS(D79))</f>
        <v>-12.456311014360399</v>
      </c>
      <c r="F79" s="7">
        <f>IMARGUMENT(D79)*(180/PI())</f>
        <v>-6.8639962856122588E-2</v>
      </c>
      <c r="G79" s="6" t="str">
        <f t="shared" ref="G79:G110" si="16">IMDIV(COMPLEX(V48_Max,0),IMSUM(COMPLEX(Rcs/np,(Lm*C79)/np),D79))</f>
        <v>301.465519512273+0.341760132964371i</v>
      </c>
      <c r="H79" s="1">
        <f>20*LOG10(IMABS(G79))</f>
        <v>49.584758508583846</v>
      </c>
      <c r="I79" s="7">
        <f>IMARGUMENT(G79)*(180/PI())</f>
        <v>6.4954044720468146E-2</v>
      </c>
      <c r="J79" s="28" t="str">
        <f t="shared" ref="J79:J110" si="17">IMDIV(IMPRODUCT(COMPLEX(V48_Max,0),D79),IMSUM(COMPLEX(Rcs/np,(Lm*C79)/np),D79))</f>
        <v>71.8492722864983-0.00462216481511078i</v>
      </c>
      <c r="K79" s="1">
        <f>20*LOG10(IMABS(J79))</f>
        <v>37.128447494223479</v>
      </c>
      <c r="L79" s="7">
        <f>IMARGUMENT(J79)*(180/PI())</f>
        <v>-3.6859181356544363E-3</v>
      </c>
      <c r="M79" s="28">
        <f t="shared" ref="M79:M110" si="18">1/(Kff*V48_Max)</f>
        <v>0.44444444444444442</v>
      </c>
      <c r="N79" s="7">
        <f>(Rcs*Acs)/np</f>
        <v>0.02</v>
      </c>
      <c r="O79" s="6" t="str">
        <f t="shared" ref="O79:O110" si="19">IMPRODUCT(COMPLEX(gm/(IL_Comp_Ccomp+IL_Comp_Chf),0),IMDIV(COMPLEX(1,C79*IL_Comp_Rcomp*IL_Comp_Ccomp),IMPRODUCT(COMPLEX(0,C79),COMPLEX(1,C79*IL_Comp_Rcomp*IL_Comp_Chf))))</f>
        <v>0.352871286948169-157.579159557894i</v>
      </c>
      <c r="P79" s="1">
        <f t="shared" ref="P79:P137" si="20">20*LOG(IMABS(O79))</f>
        <v>43.949997375161516</v>
      </c>
      <c r="Q79" s="7">
        <f>IMARGUMENT(O79)*(180/PI())</f>
        <v>-89.871696221027705</v>
      </c>
      <c r="R79" s="6" t="str">
        <f>IMDIV(IMPRODUCT(J79,O79,COMPLEX(M79,0)),IMSUM(COMPLEX(1,0),IMPRODUCT(G79,O79,COMPLEX(N79,0),COMPLEX(M79,0))))</f>
        <v>11.9164530225977-0.0424958798919297i</v>
      </c>
      <c r="S79" s="81">
        <f>20*LOG10(IMABS(R79))</f>
        <v>21.52299533559718</v>
      </c>
      <c r="T79" s="88">
        <f>IMARGUMENT(R79)*(180/PI())</f>
        <v>-0.20432457865981002</v>
      </c>
      <c r="U79" s="44" t="str">
        <f>IMPRODUCT(COMPLEX(-1,0),IMDIV(COMPLEX(1,C79*Calculations!$B$204*Calculations!$B$206),IMPRODUCT(COMPLEX(0,C79*Calculations!$B$193),COMPLEX((Calculations!$B$206+Calculations!$B$208),C79*Calculations!$B$204*Calculations!$B$206*Calculations!$B$208))))</f>
        <v>-0.917880195851882+590.184102575403i</v>
      </c>
      <c r="V79" s="44">
        <f>20*LOG10(IMABS(U79))</f>
        <v>55.419760644616488</v>
      </c>
      <c r="W79" s="44">
        <f>IMARGUMENT(U79)*(180/PI())</f>
        <v>90.089108836869229</v>
      </c>
      <c r="X79" s="44">
        <f>Calculations!$B$216/(Calculations!$B$216+Calculations!$B$218)</f>
        <v>0.80079681274900394</v>
      </c>
      <c r="Y79" s="44" t="str">
        <f>IMPRODUCT(IMPRODUCT(U79,R79), COMPLEX(X79,0))</f>
        <v>11.3252821397957+5631.95604768612i</v>
      </c>
      <c r="Z79" s="44">
        <f>20*LOG10(IMABS(Y79))</f>
        <v>75.013202699002676</v>
      </c>
      <c r="AA79" s="44">
        <f>IMARGUMENT(Y79)*(180/PI())</f>
        <v>89.884784258209436</v>
      </c>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row>
    <row r="80" spans="2:98">
      <c r="B80" s="1">
        <v>1.2915496650148839</v>
      </c>
      <c r="C80" s="24">
        <f t="shared" si="14"/>
        <v>8.1150458787142341</v>
      </c>
      <c r="D80" s="28" t="str">
        <f t="shared" ref="D80:D110" si="21">IMDIV(COMPLEX((V12_Nom/(I_Channel_Design*np)),((Zo_Buck_Cout*Zo_Buck_Resr*V12_Nom)/(I_Channel_Design*np))*C80),COMPLEX(1,((Zo_Buck_Cout*Zo_Buck_Resr)+((Zo_Buck_Cout*V12_Nom)/(I_Channel_Design*np)))*C80))</f>
        <v>0.238332738814802-0.000368764759687756i</v>
      </c>
      <c r="E80" s="1">
        <f t="shared" si="15"/>
        <v>-12.45631552803423</v>
      </c>
      <c r="F80" s="7">
        <f t="shared" ref="F80:F133" si="22">IMARGUMENT(D80)*(180/PI())</f>
        <v>-8.8651888982614419E-2</v>
      </c>
      <c r="G80" s="6" t="str">
        <f t="shared" si="16"/>
        <v>301.465561221283+0.441400201830221i</v>
      </c>
      <c r="H80" s="1">
        <f t="shared" ref="H80:H137" si="23">20*LOG10(IMABS(G80))</f>
        <v>49.584763439315289</v>
      </c>
      <c r="I80" s="7">
        <f t="shared" ref="I80:I133" si="24">IMARGUMENT(G80)*(180/PI())</f>
        <v>8.3891342234719724E-2</v>
      </c>
      <c r="J80" s="28" t="str">
        <f t="shared" si="17"/>
        <v>71.849275637049-0.00596975622229827i</v>
      </c>
      <c r="K80" s="1">
        <f t="shared" ref="K80:K137" si="25">20*LOG10(IMABS(J80))</f>
        <v>37.128447911281043</v>
      </c>
      <c r="L80" s="7">
        <f t="shared" ref="L80:L133" si="26">IMARGUMENT(J80)*(180/PI())</f>
        <v>-4.7605467478949197E-3</v>
      </c>
      <c r="M80" s="28">
        <f t="shared" si="18"/>
        <v>0.44444444444444442</v>
      </c>
      <c r="N80" s="7">
        <f t="shared" ref="N80:N110" si="27">(Rcs*Acs)/np</f>
        <v>0.02</v>
      </c>
      <c r="O80" s="6" t="str">
        <f t="shared" si="19"/>
        <v>0.352871286827548-122.007824521946i</v>
      </c>
      <c r="P80" s="1">
        <f t="shared" si="20"/>
        <v>41.727789996718194</v>
      </c>
      <c r="Q80" s="7">
        <f t="shared" ref="Q80:Q133" si="28">IMARGUMENT(O80)*(180/PI())</f>
        <v>-89.834289487968718</v>
      </c>
      <c r="R80" s="6" t="str">
        <f t="shared" ref="R80:R133" si="29">IMDIV(IMPRODUCT(J80,O80,COMPLEX(M80,0)),IMSUM(COMPLEX(1,0),IMPRODUCT(G80,O80,COMPLEX(N80,0),COMPLEX(M80,0))))</f>
        <v>11.916310293505-0.0548845693090106i</v>
      </c>
      <c r="S80" s="81">
        <f t="shared" ref="S80:S137" si="30">20*LOG10(IMABS(R80))</f>
        <v>21.522928198167524</v>
      </c>
      <c r="T80" s="88">
        <f t="shared" ref="T80:T133" si="31">IMARGUMENT(R80)*(180/PI())</f>
        <v>-0.2638930900605988</v>
      </c>
      <c r="U80" s="44" t="str">
        <f>IMPRODUCT(COMPLEX(-1,0),IMDIV(COMPLEX(1,C80*Calculations!$B$204*Calculations!$B$206),IMPRODUCT(COMPLEX(0,C80*Calculations!$B$193),COMPLEX((Calculations!$B$206+Calculations!$B$208),C80*Calculations!$B$204*Calculations!$B$206*Calculations!$B$208))))</f>
        <v>-0.917880195703552+456.958124104287i</v>
      </c>
      <c r="V80" s="44">
        <f t="shared" ref="V80:V137" si="32">20*LOG10(IMABS(U80))</f>
        <v>53.197545580891806</v>
      </c>
      <c r="W80" s="44">
        <f t="shared" ref="W80:W134" si="33">IMARGUMENT(U80)*(180/PI())</f>
        <v>90.11508842453614</v>
      </c>
      <c r="X80" s="44">
        <f>Calculations!$B$216/(Calculations!$B$216+Calculations!$B$218)</f>
        <v>0.80079681274900394</v>
      </c>
      <c r="Y80" s="44" t="str">
        <f t="shared" ref="Y80:Y137" si="34">IMPRODUCT(IMPRODUCT(U80,R80), COMPLEX(X80,0))</f>
        <v>11.3250323764923+4360.58302892509i</v>
      </c>
      <c r="Z80" s="44">
        <f t="shared" ref="Z80:Z137" si="35">20*LOG10(IMABS(Y80))</f>
        <v>72.790920497848347</v>
      </c>
      <c r="AA80" s="44">
        <f t="shared" ref="AA80:AA134" si="36">IMARGUMENT(Y80)*(180/PI())</f>
        <v>89.851195334475534</v>
      </c>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row>
    <row r="81" spans="2:70">
      <c r="B81" s="1">
        <v>1.6681005372000588</v>
      </c>
      <c r="C81" s="24">
        <f t="shared" si="14"/>
        <v>10.480984786233785</v>
      </c>
      <c r="D81" s="28" t="str">
        <f t="shared" si="21"/>
        <v>0.238332341618373-0.00047627717479275i</v>
      </c>
      <c r="E81" s="1">
        <f t="shared" si="15"/>
        <v>-12.456323057285545</v>
      </c>
      <c r="F81" s="7">
        <f t="shared" si="22"/>
        <v>-0.11449824846709472</v>
      </c>
      <c r="G81" s="6" t="str">
        <f t="shared" si="16"/>
        <v>301.465630796121+0.570090318541859i</v>
      </c>
      <c r="H81" s="1">
        <f t="shared" si="23"/>
        <v>49.584771664260657</v>
      </c>
      <c r="I81" s="7">
        <f t="shared" si="24"/>
        <v>0.1083497650165114</v>
      </c>
      <c r="J81" s="28" t="str">
        <f t="shared" si="17"/>
        <v>71.8492812261058-0.00771023838064478i</v>
      </c>
      <c r="K81" s="1">
        <f t="shared" si="25"/>
        <v>37.128448606975127</v>
      </c>
      <c r="L81" s="7">
        <f t="shared" si="26"/>
        <v>-6.1484834505828641E-3</v>
      </c>
      <c r="M81" s="28">
        <f t="shared" si="18"/>
        <v>0.44444444444444442</v>
      </c>
      <c r="N81" s="7">
        <f t="shared" si="27"/>
        <v>0.02</v>
      </c>
      <c r="O81" s="6" t="str">
        <f t="shared" si="19"/>
        <v>0.35287128662634-94.4662328628923i</v>
      </c>
      <c r="P81" s="1">
        <f t="shared" si="20"/>
        <v>39.505592535298391</v>
      </c>
      <c r="Q81" s="7">
        <f t="shared" si="28"/>
        <v>-89.78597705458921</v>
      </c>
      <c r="R81" s="6" t="str">
        <f t="shared" si="29"/>
        <v>11.9160722188371-0.0708840571281683i</v>
      </c>
      <c r="S81" s="81">
        <f t="shared" si="30"/>
        <v>21.522816209450312</v>
      </c>
      <c r="T81" s="88">
        <f t="shared" si="31"/>
        <v>-0.3408261824569418</v>
      </c>
      <c r="U81" s="44" t="str">
        <f>IMPRODUCT(COMPLEX(-1,0),IMDIV(COMPLEX(1,C81*Calculations!$B$204*Calculations!$B$206),IMPRODUCT(COMPLEX(0,C81*Calculations!$B$193),COMPLEX((Calculations!$B$206+Calculations!$B$208),C81*Calculations!$B$204*Calculations!$B$206*Calculations!$B$208))))</f>
        <v>-0.917880195456128+353.806089537365i</v>
      </c>
      <c r="V81" s="44">
        <f t="shared" si="32"/>
        <v>50.975335299736955</v>
      </c>
      <c r="W81" s="44">
        <f t="shared" si="33"/>
        <v>90.14864227854865</v>
      </c>
      <c r="X81" s="44">
        <f>Calculations!$B$216/(Calculations!$B$216+Calculations!$B$218)</f>
        <v>0.80079681274900394</v>
      </c>
      <c r="Y81" s="44" t="str">
        <f t="shared" si="34"/>
        <v>11.324615767007+3376.19457956264i</v>
      </c>
      <c r="Z81" s="44">
        <f t="shared" si="35"/>
        <v>70.568598227976281</v>
      </c>
      <c r="AA81" s="44">
        <f t="shared" si="36"/>
        <v>89.807816096091713</v>
      </c>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row>
    <row r="82" spans="2:70">
      <c r="B82" s="1">
        <v>2.1544346900318838</v>
      </c>
      <c r="C82" s="24">
        <f t="shared" si="14"/>
        <v>13.536712389686338</v>
      </c>
      <c r="D82" s="28" t="str">
        <f t="shared" si="21"/>
        <v>0.238331679057868-0.000615133843738133i</v>
      </c>
      <c r="E82" s="1">
        <f t="shared" si="15"/>
        <v>-12.456335616804504</v>
      </c>
      <c r="F82" s="7">
        <f t="shared" si="22"/>
        <v>-0.14788002568628308</v>
      </c>
      <c r="G82" s="6" t="str">
        <f t="shared" si="16"/>
        <v>301.465746853981+0.736300036920072i</v>
      </c>
      <c r="H82" s="1">
        <f t="shared" si="23"/>
        <v>49.584785384267313</v>
      </c>
      <c r="I82" s="7">
        <f t="shared" si="24"/>
        <v>0.13993895202131038</v>
      </c>
      <c r="J82" s="28" t="str">
        <f t="shared" si="17"/>
        <v>71.8492905492153-0.0099581595281453i</v>
      </c>
      <c r="K82" s="1">
        <f t="shared" si="25"/>
        <v>37.128449767462804</v>
      </c>
      <c r="L82" s="7">
        <f t="shared" si="26"/>
        <v>-7.9410736649726671E-3</v>
      </c>
      <c r="M82" s="28">
        <f t="shared" si="18"/>
        <v>0.44444444444444442</v>
      </c>
      <c r="N82" s="7">
        <f t="shared" si="27"/>
        <v>0.02</v>
      </c>
      <c r="O82" s="6" t="str">
        <f t="shared" si="19"/>
        <v>0.352871286290707-73.1417802327777i</v>
      </c>
      <c r="P82" s="1">
        <f t="shared" si="20"/>
        <v>37.283411616269916</v>
      </c>
      <c r="Q82" s="7">
        <f t="shared" si="28"/>
        <v>-89.723579621782505</v>
      </c>
      <c r="R82" s="6" t="str">
        <f t="shared" si="29"/>
        <v>11.9156751192091-0.0915457778934397i</v>
      </c>
      <c r="S82" s="81">
        <f t="shared" si="30"/>
        <v>21.522629410095728</v>
      </c>
      <c r="T82" s="88">
        <f t="shared" si="31"/>
        <v>-0.44018349416846975</v>
      </c>
      <c r="U82" s="44" t="str">
        <f>IMPRODUCT(COMPLEX(-1,0),IMDIV(COMPLEX(1,C82*Calculations!$B$204*Calculations!$B$206),IMPRODUCT(COMPLEX(0,C82*Calculations!$B$193),COMPLEX((Calculations!$B$206+Calculations!$B$208),C82*Calculations!$B$204*Calculations!$B$206*Calculations!$B$208))))</f>
        <v>-0.917880195043392+273.93921815813i</v>
      </c>
      <c r="V82" s="44">
        <f t="shared" si="32"/>
        <v>48.753132996342508</v>
      </c>
      <c r="W82" s="44">
        <f t="shared" si="33"/>
        <v>90.191978588600193</v>
      </c>
      <c r="X82" s="44">
        <f>Calculations!$B$216/(Calculations!$B$216+Calculations!$B$218)</f>
        <v>0.80079681274900394</v>
      </c>
      <c r="Y82" s="44" t="str">
        <f t="shared" si="34"/>
        <v>11.3239208784143+2614.00480303513i</v>
      </c>
      <c r="Z82" s="44">
        <f t="shared" si="35"/>
        <v>68.346209125227261</v>
      </c>
      <c r="AA82" s="44">
        <f t="shared" si="36"/>
        <v>89.751795094431728</v>
      </c>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row>
    <row r="83" spans="2:70">
      <c r="B83" s="1">
        <v>2.7825594022071245</v>
      </c>
      <c r="C83" s="24">
        <f t="shared" si="14"/>
        <v>17.483336352302217</v>
      </c>
      <c r="D83" s="28" t="str">
        <f t="shared" si="21"/>
        <v>0.238330573848875-0.000794472071034844i</v>
      </c>
      <c r="E83" s="1">
        <f t="shared" si="15"/>
        <v>-12.456356567263747</v>
      </c>
      <c r="F83" s="7">
        <f t="shared" si="22"/>
        <v>-0.19099407713197011</v>
      </c>
      <c r="G83" s="6" t="str">
        <f t="shared" si="16"/>
        <v>301.465940450268+0.950968231881054i</v>
      </c>
      <c r="H83" s="1">
        <f t="shared" si="23"/>
        <v>49.584808270536975</v>
      </c>
      <c r="I83" s="7">
        <f t="shared" si="24"/>
        <v>0.18073778195493478</v>
      </c>
      <c r="J83" s="28" t="str">
        <f t="shared" si="17"/>
        <v>71.8493061011039-0.0128614656397302i</v>
      </c>
      <c r="K83" s="1">
        <f t="shared" si="25"/>
        <v>37.128451703273235</v>
      </c>
      <c r="L83" s="7">
        <f t="shared" si="26"/>
        <v>-1.0256295177035617E-2</v>
      </c>
      <c r="M83" s="28">
        <f t="shared" si="18"/>
        <v>0.44444444444444442</v>
      </c>
      <c r="N83" s="7">
        <f t="shared" si="27"/>
        <v>0.02</v>
      </c>
      <c r="O83" s="6" t="str">
        <f t="shared" si="19"/>
        <v>0.352871285730833-56.6310330162277i</v>
      </c>
      <c r="P83" s="1">
        <f t="shared" si="20"/>
        <v>35.061258291053022</v>
      </c>
      <c r="Q83" s="7">
        <f t="shared" si="28"/>
        <v>-89.642991260258242</v>
      </c>
      <c r="R83" s="6" t="str">
        <f t="shared" si="29"/>
        <v>11.9150128085071-0.118226220108122i</v>
      </c>
      <c r="S83" s="81">
        <f t="shared" si="30"/>
        <v>21.522317835267735</v>
      </c>
      <c r="T83" s="88">
        <f t="shared" si="31"/>
        <v>-0.56849633774245933</v>
      </c>
      <c r="U83" s="44" t="str">
        <f>IMPRODUCT(COMPLEX(-1,0),IMDIV(COMPLEX(1,C83*Calculations!$B$204*Calculations!$B$206),IMPRODUCT(COMPLEX(0,C83*Calculations!$B$193),COMPLEX((Calculations!$B$206+Calculations!$B$208),C83*Calculations!$B$204*Calculations!$B$206*Calculations!$B$208))))</f>
        <v>-0.917880194354911+212.10120379111i</v>
      </c>
      <c r="V83" s="44">
        <f t="shared" si="32"/>
        <v>46.530944000524286</v>
      </c>
      <c r="W83" s="44">
        <f t="shared" si="33"/>
        <v>90.247949243083909</v>
      </c>
      <c r="X83" s="44">
        <f>Calculations!$B$216/(Calculations!$B$216+Calculations!$B$218)</f>
        <v>0.80079681274900394</v>
      </c>
      <c r="Y83" s="44" t="str">
        <f t="shared" si="34"/>
        <v>11.3227618955001+2023.85144443317i</v>
      </c>
      <c r="Z83" s="44">
        <f t="shared" si="35"/>
        <v>66.123708554581043</v>
      </c>
      <c r="AA83" s="44">
        <f t="shared" si="36"/>
        <v>89.679452905341449</v>
      </c>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row>
    <row r="84" spans="2:70">
      <c r="B84" s="1">
        <v>3.5938136638046281</v>
      </c>
      <c r="C84" s="24">
        <f t="shared" si="14"/>
        <v>22.580597209158476</v>
      </c>
      <c r="D84" s="28" t="str">
        <f t="shared" si="21"/>
        <v>0.238328730272927-0.00102609186690495i</v>
      </c>
      <c r="E84" s="1">
        <f t="shared" si="15"/>
        <v>-12.45639151451044</v>
      </c>
      <c r="F84" s="7">
        <f t="shared" si="22"/>
        <v>-0.24667764583670909</v>
      </c>
      <c r="G84" s="6" t="str">
        <f t="shared" si="16"/>
        <v>301.46626338864+1.22822305863131i</v>
      </c>
      <c r="H84" s="1">
        <f t="shared" si="23"/>
        <v>49.584846446910831</v>
      </c>
      <c r="I84" s="7">
        <f t="shared" si="24"/>
        <v>0.23343112230598723</v>
      </c>
      <c r="J84" s="28" t="str">
        <f t="shared" si="17"/>
        <v>71.8493320432294-0.0166112389537793i</v>
      </c>
      <c r="K84" s="1">
        <f t="shared" si="25"/>
        <v>37.128454932400373</v>
      </c>
      <c r="L84" s="7">
        <f t="shared" si="26"/>
        <v>-1.3246523530722849E-2</v>
      </c>
      <c r="M84" s="28">
        <f t="shared" si="18"/>
        <v>0.44444444444444442</v>
      </c>
      <c r="N84" s="7">
        <f t="shared" si="27"/>
        <v>0.02</v>
      </c>
      <c r="O84" s="6" t="str">
        <f t="shared" si="19"/>
        <v>0.352871284796908-43.8473636659589i</v>
      </c>
      <c r="P84" s="1">
        <f t="shared" si="20"/>
        <v>32.839150993529692</v>
      </c>
      <c r="Q84" s="7">
        <f t="shared" si="28"/>
        <v>-89.538909590501319</v>
      </c>
      <c r="R84" s="6" t="str">
        <f t="shared" si="29"/>
        <v>11.9139082619253-0.152674144672577i</v>
      </c>
      <c r="S84" s="81">
        <f t="shared" si="30"/>
        <v>21.521798167447344</v>
      </c>
      <c r="T84" s="88">
        <f t="shared" si="31"/>
        <v>-0.7341927725603975</v>
      </c>
      <c r="U84" s="44" t="str">
        <f>IMPRODUCT(COMPLEX(-1,0),IMDIV(COMPLEX(1,C84*Calculations!$B$204*Calculations!$B$206),IMPRODUCT(COMPLEX(0,C84*Calculations!$B$193),COMPLEX((Calculations!$B$206+Calculations!$B$208),C84*Calculations!$B$204*Calculations!$B$206*Calculations!$B$208))))</f>
        <v>-0.917880193206459+164.222279695937i</v>
      </c>
      <c r="V84" s="44">
        <f t="shared" si="32"/>
        <v>44.308777202718645</v>
      </c>
      <c r="W84" s="44">
        <f t="shared" si="33"/>
        <v>90.320237385797753</v>
      </c>
      <c r="X84" s="44">
        <f>Calculations!$B$216/(Calculations!$B$216+Calculations!$B$218)</f>
        <v>0.80079681274900394</v>
      </c>
      <c r="Y84" s="44" t="str">
        <f t="shared" si="34"/>
        <v>11.3208290436774+1566.89454820097i</v>
      </c>
      <c r="Z84" s="44">
        <f t="shared" si="35"/>
        <v>63.901022088954996</v>
      </c>
      <c r="AA84" s="44">
        <f t="shared" si="36"/>
        <v>89.586044613237362</v>
      </c>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row>
    <row r="85" spans="2:70">
      <c r="B85" s="1">
        <v>4.6415888336127793</v>
      </c>
      <c r="C85" s="24">
        <f t="shared" si="14"/>
        <v>29.163962761324647</v>
      </c>
      <c r="D85" s="28" t="str">
        <f t="shared" si="21"/>
        <v>0.238325655069029-0.00132523078952936i</v>
      </c>
      <c r="E85" s="1">
        <f t="shared" si="15"/>
        <v>-12.456449809403622</v>
      </c>
      <c r="F85" s="7">
        <f t="shared" si="22"/>
        <v>-0.31859494322282317</v>
      </c>
      <c r="G85" s="6" t="str">
        <f t="shared" si="16"/>
        <v>301.466802083149+1.58631184973063i</v>
      </c>
      <c r="H85" s="1">
        <f t="shared" si="23"/>
        <v>49.58491012831486</v>
      </c>
      <c r="I85" s="7">
        <f t="shared" si="24"/>
        <v>0.301486380953849</v>
      </c>
      <c r="J85" s="28" t="str">
        <f t="shared" si="17"/>
        <v>71.8493753173368-0.0214542774107263i</v>
      </c>
      <c r="K85" s="1">
        <f t="shared" si="25"/>
        <v>37.128460318911223</v>
      </c>
      <c r="L85" s="7">
        <f t="shared" si="26"/>
        <v>-1.7108562268973337E-2</v>
      </c>
      <c r="M85" s="28">
        <f t="shared" si="18"/>
        <v>0.44444444444444442</v>
      </c>
      <c r="N85" s="7">
        <f t="shared" si="27"/>
        <v>0.02</v>
      </c>
      <c r="O85" s="6" t="str">
        <f t="shared" si="19"/>
        <v>0.35287128323903-33.9494361061915i</v>
      </c>
      <c r="P85" s="1">
        <f t="shared" si="20"/>
        <v>30.617120470490789</v>
      </c>
      <c r="Q85" s="7">
        <f t="shared" si="28"/>
        <v>-89.404487687668947</v>
      </c>
      <c r="R85" s="6" t="str">
        <f t="shared" si="29"/>
        <v>11.9120664743276-0.197141250974831i</v>
      </c>
      <c r="S85" s="81">
        <f t="shared" si="30"/>
        <v>21.520931504876888</v>
      </c>
      <c r="T85" s="88">
        <f t="shared" si="31"/>
        <v>-0.94814200396872261</v>
      </c>
      <c r="U85" s="44" t="str">
        <f>IMPRODUCT(COMPLEX(-1,0),IMDIV(COMPLEX(1,C85*Calculations!$B$204*Calculations!$B$206),IMPRODUCT(COMPLEX(0,C85*Calculations!$B$193),COMPLEX((Calculations!$B$206+Calculations!$B$208),C85*Calculations!$B$204*Calculations!$B$206*Calculations!$B$208))))</f>
        <v>-0.91788019129072+127.151373593823i</v>
      </c>
      <c r="V85" s="44">
        <f t="shared" si="32"/>
        <v>42.086647432421096</v>
      </c>
      <c r="W85" s="44">
        <f t="shared" si="33"/>
        <v>90.413599523807434</v>
      </c>
      <c r="X85" s="44">
        <f>Calculations!$B$216/(Calculations!$B$216+Calculations!$B$218)</f>
        <v>0.80079681274900394</v>
      </c>
      <c r="Y85" s="44" t="str">
        <f t="shared" si="34"/>
        <v>11.3176060990657+1213.06027843334i</v>
      </c>
      <c r="Z85" s="44">
        <f t="shared" si="35"/>
        <v>61.678025656086994</v>
      </c>
      <c r="AA85" s="44">
        <f t="shared" si="36"/>
        <v>89.465457519838722</v>
      </c>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row>
    <row r="86" spans="2:70">
      <c r="B86" s="1">
        <v>5.9948425031894104</v>
      </c>
      <c r="C86" s="24">
        <f t="shared" si="14"/>
        <v>37.666706334895395</v>
      </c>
      <c r="D86" s="28" t="str">
        <f t="shared" si="21"/>
        <v>0.238320525503763-0.0017115629971368i</v>
      </c>
      <c r="E86" s="1">
        <f t="shared" si="15"/>
        <v>-12.456547049399338</v>
      </c>
      <c r="F86" s="7">
        <f t="shared" si="22"/>
        <v>-0.41147798727459811</v>
      </c>
      <c r="G86" s="6" t="str">
        <f t="shared" si="16"/>
        <v>301.467700682074+2.04880219659628i</v>
      </c>
      <c r="H86" s="1">
        <f t="shared" si="23"/>
        <v>49.58501635355794</v>
      </c>
      <c r="I86" s="7">
        <f t="shared" si="24"/>
        <v>0.38938138795527355</v>
      </c>
      <c r="J86" s="28" t="str">
        <f t="shared" si="17"/>
        <v>71.8494475029909-0.027709345173262i</v>
      </c>
      <c r="K86" s="1">
        <f t="shared" si="25"/>
        <v>37.128469304158578</v>
      </c>
      <c r="L86" s="7">
        <f t="shared" si="26"/>
        <v>-2.2096599319325533E-2</v>
      </c>
      <c r="M86" s="28">
        <f t="shared" si="18"/>
        <v>0.44444444444444442</v>
      </c>
      <c r="N86" s="7">
        <f t="shared" si="27"/>
        <v>0.02</v>
      </c>
      <c r="O86" s="6" t="str">
        <f t="shared" si="19"/>
        <v>0.352871280640327-26.2858345889639i</v>
      </c>
      <c r="P86" s="1">
        <f t="shared" si="20"/>
        <v>28.395218002946578</v>
      </c>
      <c r="Q86" s="7">
        <f t="shared" si="28"/>
        <v>-89.23088534133997</v>
      </c>
      <c r="R86" s="6" t="str">
        <f t="shared" si="29"/>
        <v>11.908996153578-0.254520852208511i</v>
      </c>
      <c r="S86" s="81">
        <f t="shared" si="30"/>
        <v>21.519486368551071</v>
      </c>
      <c r="T86" s="88">
        <f t="shared" si="31"/>
        <v>-1.2243476025398026</v>
      </c>
      <c r="U86" s="44" t="str">
        <f>IMPRODUCT(COMPLEX(-1,0),IMDIV(COMPLEX(1,C86*Calculations!$B$204*Calculations!$B$206),IMPRODUCT(COMPLEX(0,C86*Calculations!$B$193),COMPLEX((Calculations!$B$206+Calculations!$B$208),C86*Calculations!$B$204*Calculations!$B$206*Calculations!$B$208))))</f>
        <v>-0.917880188095073+98.4487250520648i</v>
      </c>
      <c r="V86" s="44">
        <f t="shared" si="32"/>
        <v>39.864579424923733</v>
      </c>
      <c r="W86" s="44">
        <f t="shared" si="33"/>
        <v>90.534177939723151</v>
      </c>
      <c r="X86" s="44">
        <f>Calculations!$B$216/(Calculations!$B$216+Calculations!$B$218)</f>
        <v>0.80079681274900394</v>
      </c>
      <c r="Y86" s="44" t="str">
        <f t="shared" si="34"/>
        <v>11.3122333692999+939.061675821105i</v>
      </c>
      <c r="Z86" s="44">
        <f t="shared" si="35"/>
        <v>59.45451251226384</v>
      </c>
      <c r="AA86" s="44">
        <f t="shared" si="36"/>
        <v>89.309830337183357</v>
      </c>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row>
    <row r="87" spans="2:70">
      <c r="B87" s="1">
        <v>7.7426368268112711</v>
      </c>
      <c r="C87" s="24">
        <f t="shared" si="14"/>
        <v>48.648421949048156</v>
      </c>
      <c r="D87" s="28" t="str">
        <f t="shared" si="21"/>
        <v>0.238311969385164-0.00221048592225922i</v>
      </c>
      <c r="E87" s="1">
        <f t="shared" si="15"/>
        <v>-12.456709250627734</v>
      </c>
      <c r="F87" s="7">
        <f t="shared" si="22"/>
        <v>-0.53143735208198573</v>
      </c>
      <c r="G87" s="6" t="str">
        <f t="shared" si="16"/>
        <v>301.469199641895+2.64613336376051i</v>
      </c>
      <c r="H87" s="1">
        <f t="shared" si="23"/>
        <v>49.585193543098356</v>
      </c>
      <c r="I87" s="7">
        <f t="shared" si="24"/>
        <v>0.50289840732740587</v>
      </c>
      <c r="J87" s="28" t="str">
        <f t="shared" si="17"/>
        <v>71.8495679161782-0.035788168629609i</v>
      </c>
      <c r="K87" s="1">
        <f t="shared" si="25"/>
        <v>37.128484292470624</v>
      </c>
      <c r="L87" s="7">
        <f t="shared" si="26"/>
        <v>-2.8538944754581231E-2</v>
      </c>
      <c r="M87" s="28">
        <f t="shared" si="18"/>
        <v>0.44444444444444442</v>
      </c>
      <c r="N87" s="7">
        <f t="shared" si="27"/>
        <v>0.02</v>
      </c>
      <c r="O87" s="6" t="str">
        <f t="shared" si="19"/>
        <v>0.352871276305434-20.3521918430192i</v>
      </c>
      <c r="P87" s="1">
        <f t="shared" si="20"/>
        <v>26.173529111280178</v>
      </c>
      <c r="Q87" s="7">
        <f t="shared" si="28"/>
        <v>-89.0066912979851</v>
      </c>
      <c r="R87" s="6" t="str">
        <f t="shared" si="29"/>
        <v>11.903880013577-0.328517857051715i</v>
      </c>
      <c r="S87" s="81">
        <f t="shared" si="30"/>
        <v>21.517077248145426</v>
      </c>
      <c r="T87" s="88">
        <f t="shared" si="31"/>
        <v>-1.5808215689861078</v>
      </c>
      <c r="U87" s="44" t="str">
        <f>IMPRODUCT(COMPLEX(-1,0),IMDIV(COMPLEX(1,C87*Calculations!$B$204*Calculations!$B$206),IMPRODUCT(COMPLEX(0,C87*Calculations!$B$193),COMPLEX((Calculations!$B$206+Calculations!$B$208),C87*Calculations!$B$204*Calculations!$B$206*Calculations!$B$208))))</f>
        <v>-0.917880182764417+76.2253166823873i</v>
      </c>
      <c r="V87" s="44">
        <f t="shared" si="32"/>
        <v>37.642614436179173</v>
      </c>
      <c r="W87" s="44">
        <f t="shared" si="33"/>
        <v>90.68990358016049</v>
      </c>
      <c r="X87" s="44">
        <f>Calculations!$B$216/(Calculations!$B$216+Calculations!$B$218)</f>
        <v>0.80079681274900394</v>
      </c>
      <c r="Y87" s="44" t="str">
        <f t="shared" si="34"/>
        <v>11.3032807472144+726.866100903421i</v>
      </c>
      <c r="Z87" s="44">
        <f t="shared" si="35"/>
        <v>57.230138403113607</v>
      </c>
      <c r="AA87" s="44">
        <f t="shared" si="36"/>
        <v>89.109082011174394</v>
      </c>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row>
    <row r="88" spans="2:70">
      <c r="B88" s="1">
        <v>10</v>
      </c>
      <c r="C88" s="24">
        <f t="shared" si="14"/>
        <v>62.831853071795862</v>
      </c>
      <c r="D88" s="28" t="str">
        <f t="shared" si="21"/>
        <v>0.23829769834356-0.00285477421278414i</v>
      </c>
      <c r="E88" s="1">
        <f t="shared" si="15"/>
        <v>-12.456979805060051</v>
      </c>
      <c r="F88" s="7">
        <f t="shared" si="22"/>
        <v>-0.68636285956065113</v>
      </c>
      <c r="G88" s="6" t="str">
        <f t="shared" si="16"/>
        <v>301.471700075593+3.41762035750183i</v>
      </c>
      <c r="H88" s="1">
        <f t="shared" si="23"/>
        <v>49.585489099586731</v>
      </c>
      <c r="I88" s="7">
        <f t="shared" si="24"/>
        <v>0.64950320261877226</v>
      </c>
      <c r="J88" s="28" t="str">
        <f t="shared" si="17"/>
        <v>71.8497687781995-0.0462225702552186i</v>
      </c>
      <c r="K88" s="1">
        <f t="shared" si="25"/>
        <v>37.12850929452668</v>
      </c>
      <c r="L88" s="7">
        <f t="shared" si="26"/>
        <v>-3.6859656941880425E-2</v>
      </c>
      <c r="M88" s="28">
        <f t="shared" si="18"/>
        <v>0.44444444444444442</v>
      </c>
      <c r="N88" s="7">
        <f t="shared" si="27"/>
        <v>0.02</v>
      </c>
      <c r="O88" s="6" t="str">
        <f t="shared" si="19"/>
        <v>0.352871269074397-15.7579949752141i</v>
      </c>
      <c r="P88" s="1">
        <f t="shared" si="20"/>
        <v>23.95219639229326</v>
      </c>
      <c r="Q88" s="7">
        <f t="shared" si="28"/>
        <v>-88.717180960557684</v>
      </c>
      <c r="R88" s="6" t="str">
        <f t="shared" si="29"/>
        <v>11.895360947454-0.423848807813424i</v>
      </c>
      <c r="S88" s="81">
        <f t="shared" si="30"/>
        <v>21.513062794781778</v>
      </c>
      <c r="T88" s="88">
        <f t="shared" si="31"/>
        <v>-2.0406676576282323</v>
      </c>
      <c r="U88" s="44" t="str">
        <f>IMPRODUCT(COMPLEX(-1,0),IMDIV(COMPLEX(1,C88*Calculations!$B$204*Calculations!$B$206),IMPRODUCT(COMPLEX(0,C88*Calculations!$B$193),COMPLEX((Calculations!$B$206+Calculations!$B$208),C88*Calculations!$B$204*Calculations!$B$206*Calculations!$B$208))))</f>
        <v>-0.917880173872363+59.0185515827657i</v>
      </c>
      <c r="V88" s="44">
        <f t="shared" si="32"/>
        <v>35.420821271350412</v>
      </c>
      <c r="W88" s="44">
        <f t="shared" si="33"/>
        <v>90.891015097906319</v>
      </c>
      <c r="X88" s="44">
        <f>Calculations!$B$216/(Calculations!$B$216+Calculations!$B$218)</f>
        <v>0.80079681274900394</v>
      </c>
      <c r="Y88" s="44" t="str">
        <f t="shared" si="34"/>
        <v>11.2883736145572+562.508522845254i</v>
      </c>
      <c r="Z88" s="44">
        <f t="shared" si="35"/>
        <v>55.004330784921208</v>
      </c>
      <c r="AA88" s="44">
        <f t="shared" si="36"/>
        <v>88.850347440278099</v>
      </c>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row>
    <row r="89" spans="2:70">
      <c r="B89" s="1">
        <v>12.915496650148844</v>
      </c>
      <c r="C89" s="24">
        <f t="shared" si="14"/>
        <v>81.150458787142384</v>
      </c>
      <c r="D89" s="28" t="str">
        <f t="shared" si="21"/>
        <v>0.238273896774143-0.00368669895190328i</v>
      </c>
      <c r="E89" s="1">
        <f t="shared" si="15"/>
        <v>-12.457431079427865</v>
      </c>
      <c r="F89" s="7">
        <f t="shared" si="22"/>
        <v>-0.88643967841244975</v>
      </c>
      <c r="G89" s="6" t="str">
        <f t="shared" si="16"/>
        <v>301.47587110051+4.41404301267753i</v>
      </c>
      <c r="H89" s="1">
        <f t="shared" si="23"/>
        <v>49.58598208002207</v>
      </c>
      <c r="I89" s="7">
        <f t="shared" si="24"/>
        <v>0.8388331863112598</v>
      </c>
      <c r="J89" s="28" t="str">
        <f t="shared" si="17"/>
        <v>71.8501038382464-0.0596995488510272i</v>
      </c>
      <c r="K89" s="1">
        <f t="shared" si="25"/>
        <v>37.128551000594221</v>
      </c>
      <c r="L89" s="7">
        <f t="shared" si="26"/>
        <v>-4.7606492101191063E-2</v>
      </c>
      <c r="M89" s="28">
        <f t="shared" si="18"/>
        <v>0.44444444444444442</v>
      </c>
      <c r="N89" s="7">
        <f t="shared" si="27"/>
        <v>0.02</v>
      </c>
      <c r="O89" s="6" t="str">
        <f t="shared" si="19"/>
        <v>0.3528712570123-12.2008845097024i</v>
      </c>
      <c r="P89" s="1">
        <f t="shared" si="20"/>
        <v>21.731457545514509</v>
      </c>
      <c r="Q89" s="7">
        <f t="shared" si="28"/>
        <v>-88.343366065319913</v>
      </c>
      <c r="R89" s="6" t="str">
        <f t="shared" si="29"/>
        <v>11.8811923455793-0.546458781971021i</v>
      </c>
      <c r="S89" s="81">
        <f t="shared" si="30"/>
        <v>21.506377945156395</v>
      </c>
      <c r="T89" s="88">
        <f t="shared" si="31"/>
        <v>-2.6333831881896952</v>
      </c>
      <c r="U89" s="44" t="str">
        <f>IMPRODUCT(COMPLEX(-1,0),IMDIV(COMPLEX(1,C89*Calculations!$B$204*Calculations!$B$206),IMPRODUCT(COMPLEX(0,C89*Calculations!$B$193),COMPLEX((Calculations!$B$206+Calculations!$B$208),C89*Calculations!$B$204*Calculations!$B$206*Calculations!$B$208))))</f>
        <v>-0.917880159039504+45.6959949389733i</v>
      </c>
      <c r="V89" s="44">
        <f t="shared" si="32"/>
        <v>33.199314665663557</v>
      </c>
      <c r="W89" s="44">
        <f t="shared" si="33"/>
        <v>91.150726404002626</v>
      </c>
      <c r="X89" s="44">
        <f>Calculations!$B$216/(Calculations!$B$216+Calculations!$B$218)</f>
        <v>0.80079681274900394</v>
      </c>
      <c r="Y89" s="44" t="str">
        <f t="shared" si="34"/>
        <v>11.2635811558915+435.172598733941i</v>
      </c>
      <c r="Z89" s="44">
        <f t="shared" si="35"/>
        <v>52.776139329608974</v>
      </c>
      <c r="AA89" s="44">
        <f t="shared" si="36"/>
        <v>88.517343215812943</v>
      </c>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row>
    <row r="90" spans="2:70">
      <c r="B90" s="1">
        <v>16.681005372000598</v>
      </c>
      <c r="C90" s="24">
        <f t="shared" si="14"/>
        <v>104.8098478623379</v>
      </c>
      <c r="D90" s="28" t="str">
        <f t="shared" si="21"/>
        <v>0.238234204386249-0.00476072831258493i</v>
      </c>
      <c r="E90" s="1">
        <f t="shared" si="15"/>
        <v>-12.458183745770148</v>
      </c>
      <c r="F90" s="7">
        <f t="shared" si="22"/>
        <v>-1.1448118468069248</v>
      </c>
      <c r="G90" s="6" t="str">
        <f t="shared" si="16"/>
        <v>301.482828928886+5.70099150547383i</v>
      </c>
      <c r="H90" s="1">
        <f t="shared" si="23"/>
        <v>49.586804316624139</v>
      </c>
      <c r="I90" s="7">
        <f t="shared" si="24"/>
        <v>1.0833248048024877</v>
      </c>
      <c r="J90" s="28" t="str">
        <f t="shared" si="17"/>
        <v>71.8506627576585-0.0771066639206257i</v>
      </c>
      <c r="K90" s="1">
        <f t="shared" si="25"/>
        <v>37.128620570853968</v>
      </c>
      <c r="L90" s="7">
        <f t="shared" si="26"/>
        <v>-6.1487042004437956E-2</v>
      </c>
      <c r="M90" s="28">
        <f t="shared" si="18"/>
        <v>0.44444444444444442</v>
      </c>
      <c r="N90" s="7">
        <f t="shared" si="27"/>
        <v>0.02</v>
      </c>
      <c r="O90" s="6" t="str">
        <f t="shared" si="19"/>
        <v>0.352871236891511-9.44675509862168i</v>
      </c>
      <c r="P90" s="1">
        <f t="shared" si="20"/>
        <v>19.511708615508262</v>
      </c>
      <c r="Q90" s="7">
        <f t="shared" si="28"/>
        <v>-87.860785334179624</v>
      </c>
      <c r="R90" s="6" t="str">
        <f t="shared" si="29"/>
        <v>11.8576740096604-0.703714191468194i</v>
      </c>
      <c r="S90" s="81">
        <f t="shared" si="30"/>
        <v>21.495259259627293</v>
      </c>
      <c r="T90" s="88">
        <f t="shared" si="31"/>
        <v>-3.3963336258794485</v>
      </c>
      <c r="U90" s="44" t="str">
        <f>IMPRODUCT(COMPLEX(-1,0),IMDIV(COMPLEX(1,C90*Calculations!$B$204*Calculations!$B$206),IMPRODUCT(COMPLEX(0,C90*Calculations!$B$193),COMPLEX((Calculations!$B$206+Calculations!$B$208),C90*Calculations!$B$204*Calculations!$B$206*Calculations!$B$208))))</f>
        <v>-0.917880134296812+35.3808446984107i</v>
      </c>
      <c r="V90" s="44">
        <f t="shared" si="32"/>
        <v>30.978285901375227</v>
      </c>
      <c r="W90" s="44">
        <f t="shared" si="33"/>
        <v>91.48608278322439</v>
      </c>
      <c r="X90" s="44">
        <f>Calculations!$B$216/(Calculations!$B$216+Calculations!$B$218)</f>
        <v>0.80079681274900394</v>
      </c>
      <c r="Y90" s="44" t="str">
        <f t="shared" si="34"/>
        <v>11.2224298832739+336.479163455164i</v>
      </c>
      <c r="Z90" s="44">
        <f t="shared" si="35"/>
        <v>50.543991879791541</v>
      </c>
      <c r="AA90" s="44">
        <f t="shared" si="36"/>
        <v>88.089749157344954</v>
      </c>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row>
    <row r="91" spans="2:70">
      <c r="B91" s="1">
        <v>21.544346900318843</v>
      </c>
      <c r="C91" s="24">
        <f t="shared" si="14"/>
        <v>135.3671238968634</v>
      </c>
      <c r="D91" s="28" t="str">
        <f t="shared" si="21"/>
        <v>0.238168024146982-0.00614693727645447i</v>
      </c>
      <c r="E91" s="1">
        <f t="shared" si="15"/>
        <v>-12.459438977751237</v>
      </c>
      <c r="F91" s="7">
        <f t="shared" si="22"/>
        <v>-1.4784326932293457</v>
      </c>
      <c r="G91" s="6" t="str">
        <f t="shared" si="16"/>
        <v>301.494435674238+7.36319065025324i</v>
      </c>
      <c r="H91" s="1">
        <f t="shared" si="23"/>
        <v>49.588175599755985</v>
      </c>
      <c r="I91" s="7">
        <f t="shared" si="24"/>
        <v>1.3990172006073118</v>
      </c>
      <c r="J91" s="28" t="str">
        <f t="shared" si="17"/>
        <v>71.8515951069243-0.0995908167012326i</v>
      </c>
      <c r="K91" s="1">
        <f t="shared" si="25"/>
        <v>37.128736622004737</v>
      </c>
      <c r="L91" s="7">
        <f t="shared" si="26"/>
        <v>-7.9415492622034026E-2</v>
      </c>
      <c r="M91" s="28">
        <f t="shared" si="18"/>
        <v>0.44444444444444442</v>
      </c>
      <c r="N91" s="7">
        <f t="shared" si="27"/>
        <v>0.02</v>
      </c>
      <c r="O91" s="6" t="str">
        <f t="shared" si="19"/>
        <v>0.352871203328018-7.31434826543526i</v>
      </c>
      <c r="P91" s="1">
        <f t="shared" si="20"/>
        <v>17.293608960863935</v>
      </c>
      <c r="Q91" s="7">
        <f t="shared" si="28"/>
        <v>-87.237981255061783</v>
      </c>
      <c r="R91" s="6" t="str">
        <f t="shared" si="29"/>
        <v>11.8187634626612-0.904470586277718i</v>
      </c>
      <c r="S91" s="81">
        <f t="shared" si="30"/>
        <v>21.476801473379975</v>
      </c>
      <c r="T91" s="88">
        <f t="shared" si="31"/>
        <v>-4.3762221027729824</v>
      </c>
      <c r="U91" s="44" t="str">
        <f>IMPRODUCT(COMPLEX(-1,0),IMDIV(COMPLEX(1,C91*Calculations!$B$204*Calculations!$B$206),IMPRODUCT(COMPLEX(0,C91*Calculations!$B$193),COMPLEX((Calculations!$B$206+Calculations!$B$208),C91*Calculations!$B$204*Calculations!$B$206*Calculations!$B$208))))</f>
        <v>-0.917880093023509+27.3942262917543i</v>
      </c>
      <c r="V91" s="44">
        <f t="shared" si="32"/>
        <v>28.758053757285911</v>
      </c>
      <c r="W91" s="44">
        <f t="shared" si="33"/>
        <v>91.919053576769429</v>
      </c>
      <c r="X91" s="44">
        <f>Calculations!$B$216/(Calculations!$B$216+Calculations!$B$218)</f>
        <v>0.80079681274900394</v>
      </c>
      <c r="Y91" s="44" t="str">
        <f t="shared" si="34"/>
        <v>11.1543502225005+259.935503356479i</v>
      </c>
      <c r="Z91" s="44">
        <f t="shared" si="35"/>
        <v>48.305301949454886</v>
      </c>
      <c r="AA91" s="44">
        <f t="shared" si="36"/>
        <v>87.542831473996443</v>
      </c>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row>
    <row r="92" spans="2:70">
      <c r="B92" s="1">
        <v>27.825594022071257</v>
      </c>
      <c r="C92" s="24">
        <f t="shared" si="14"/>
        <v>174.83336352302226</v>
      </c>
      <c r="D92" s="28" t="str">
        <f t="shared" si="21"/>
        <v>0.238057714071091-0.00793524331846139i</v>
      </c>
      <c r="E92" s="1">
        <f t="shared" si="15"/>
        <v>-12.46153202126488</v>
      </c>
      <c r="F92" s="7">
        <f t="shared" si="22"/>
        <v>-1.9091491111507533</v>
      </c>
      <c r="G92" s="6" t="str">
        <f t="shared" si="16"/>
        <v>301.513797972365+9.51009227144502i</v>
      </c>
      <c r="H92" s="1">
        <f t="shared" si="23"/>
        <v>49.59046223093641</v>
      </c>
      <c r="I92" s="7">
        <f t="shared" si="24"/>
        <v>1.8065759127304031</v>
      </c>
      <c r="J92" s="28" t="str">
        <f t="shared" si="17"/>
        <v>71.8531504023492-0.128634524038773i</v>
      </c>
      <c r="K92" s="1">
        <f t="shared" si="25"/>
        <v>37.128930209671573</v>
      </c>
      <c r="L92" s="7">
        <f t="shared" si="26"/>
        <v>-0.10257319842034708</v>
      </c>
      <c r="M92" s="28">
        <f t="shared" si="18"/>
        <v>0.44444444444444442</v>
      </c>
      <c r="N92" s="7">
        <f t="shared" si="27"/>
        <v>0.02</v>
      </c>
      <c r="O92" s="6" t="str">
        <f t="shared" si="19"/>
        <v>0.35287114734075-5.663323177789i</v>
      </c>
      <c r="P92" s="1">
        <f t="shared" si="20"/>
        <v>15.078254897475396</v>
      </c>
      <c r="Q92" s="7">
        <f t="shared" si="28"/>
        <v>-86.434615610282478</v>
      </c>
      <c r="R92" s="6" t="str">
        <f t="shared" si="29"/>
        <v>11.7547334626067-1.15879399026874i</v>
      </c>
      <c r="S92" s="81">
        <f t="shared" si="30"/>
        <v>21.446257666323977</v>
      </c>
      <c r="T92" s="88">
        <f t="shared" si="31"/>
        <v>-5.6300870940832253</v>
      </c>
      <c r="U92" s="44" t="str">
        <f>IMPRODUCT(COMPLEX(-1,0),IMDIV(COMPLEX(1,C92*Calculations!$B$204*Calculations!$B$206),IMPRODUCT(COMPLEX(0,C92*Calculations!$B$193),COMPLEX((Calculations!$B$206+Calculations!$B$208),C92*Calculations!$B$204*Calculations!$B$206*Calculations!$B$208))))</f>
        <v>-0.917880024175505+21.2105136248811i</v>
      </c>
      <c r="V92" s="44">
        <f t="shared" si="32"/>
        <v>26.539149157092229</v>
      </c>
      <c r="W92" s="44">
        <f t="shared" si="33"/>
        <v>92.477915448895843</v>
      </c>
      <c r="X92" s="44">
        <f>Calculations!$B$216/(Calculations!$B$216+Calculations!$B$218)</f>
        <v>0.80079681274900394</v>
      </c>
      <c r="Y92" s="44" t="str">
        <f t="shared" si="34"/>
        <v>11.0423319423206+200.509566503485i</v>
      </c>
      <c r="Z92" s="44">
        <f t="shared" si="35"/>
        <v>46.05585354220522</v>
      </c>
      <c r="AA92" s="44">
        <f t="shared" si="36"/>
        <v>86.84782835481262</v>
      </c>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row>
    <row r="93" spans="2:70">
      <c r="B93" s="1">
        <v>35.938136638046281</v>
      </c>
      <c r="C93" s="24">
        <f t="shared" si="14"/>
        <v>225.80597209158475</v>
      </c>
      <c r="D93" s="28" t="str">
        <f t="shared" si="21"/>
        <v>0.237873942521369-0.0102405168360361i</v>
      </c>
      <c r="E93" s="1">
        <f t="shared" si="15"/>
        <v>-12.465021177802686</v>
      </c>
      <c r="F93" s="7">
        <f t="shared" si="22"/>
        <v>-2.4650717100634361</v>
      </c>
      <c r="G93" s="6" t="str">
        <f t="shared" si="16"/>
        <v>301.546099237621+12.283113818784i</v>
      </c>
      <c r="H93" s="1">
        <f t="shared" si="23"/>
        <v>49.594274318622311</v>
      </c>
      <c r="I93" s="7">
        <f t="shared" si="24"/>
        <v>2.3325843982335273</v>
      </c>
      <c r="J93" s="28" t="str">
        <f t="shared" si="17"/>
        <v>71.8557449114533-0.166155195571009i</v>
      </c>
      <c r="K93" s="1">
        <f t="shared" si="25"/>
        <v>37.12925314081965</v>
      </c>
      <c r="L93" s="7">
        <f t="shared" si="26"/>
        <v>-0.13248731182990683</v>
      </c>
      <c r="M93" s="28">
        <f t="shared" si="18"/>
        <v>0.44444444444444442</v>
      </c>
      <c r="N93" s="7">
        <f t="shared" si="27"/>
        <v>0.02</v>
      </c>
      <c r="O93" s="6" t="str">
        <f t="shared" si="19"/>
        <v>0.352871053948398-4.38502034750882i</v>
      </c>
      <c r="P93" s="1">
        <f t="shared" si="20"/>
        <v>12.867465334185432</v>
      </c>
      <c r="Q93" s="7">
        <f t="shared" si="28"/>
        <v>-85.399212060275545</v>
      </c>
      <c r="R93" s="6" t="str">
        <f t="shared" si="29"/>
        <v>11.6502977109742-1.47689388308497i</v>
      </c>
      <c r="S93" s="81">
        <f t="shared" si="30"/>
        <v>21.395978126210913</v>
      </c>
      <c r="T93" s="88">
        <f t="shared" si="31"/>
        <v>-7.2247783274739241</v>
      </c>
      <c r="U93" s="44" t="str">
        <f>IMPRODUCT(COMPLEX(-1,0),IMDIV(COMPLEX(1,C93*Calculations!$B$204*Calculations!$B$206),IMPRODUCT(COMPLEX(0,C93*Calculations!$B$193),COMPLEX((Calculations!$B$206+Calculations!$B$208),C93*Calculations!$B$204*Calculations!$B$206*Calculations!$B$208))))</f>
        <v>-0.917879909330133+16.4227358659721i</v>
      </c>
      <c r="V93" s="44">
        <f t="shared" si="32"/>
        <v>24.322455427269226</v>
      </c>
      <c r="W93" s="44">
        <f t="shared" si="33"/>
        <v>93.198978974732611</v>
      </c>
      <c r="X93" s="44">
        <f>Calculations!$B$216/(Calculations!$B$216+Calculations!$B$218)</f>
        <v>0.80079681274900394</v>
      </c>
      <c r="Y93" s="44" t="str">
        <f t="shared" si="34"/>
        <v>10.8596567785204+154.301832794597i</v>
      </c>
      <c r="Z93" s="44">
        <f t="shared" si="35"/>
        <v>43.788880272269182</v>
      </c>
      <c r="AA93" s="44">
        <f t="shared" si="36"/>
        <v>85.974200647258698</v>
      </c>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row>
    <row r="94" spans="2:70">
      <c r="B94" s="1">
        <v>46.415888336127786</v>
      </c>
      <c r="C94" s="24">
        <f t="shared" si="14"/>
        <v>291.63962761324643</v>
      </c>
      <c r="D94" s="28" t="str">
        <f t="shared" si="21"/>
        <v>0.237568050134321-0.0132084129679144i</v>
      </c>
      <c r="E94" s="1">
        <f t="shared" si="15"/>
        <v>-12.470835190590602</v>
      </c>
      <c r="F94" s="7">
        <f t="shared" si="22"/>
        <v>-3.1822796481969076</v>
      </c>
      <c r="G94" s="6" t="str">
        <f t="shared" si="16"/>
        <v>301.59998935936+15.8650214225363i</v>
      </c>
      <c r="H94" s="1">
        <f t="shared" si="23"/>
        <v>49.600627033782494</v>
      </c>
      <c r="I94" s="7">
        <f t="shared" si="24"/>
        <v>3.0111464602613278</v>
      </c>
      <c r="J94" s="28" t="str">
        <f t="shared" si="17"/>
        <v>71.8600731473287-0.214635005885831i</v>
      </c>
      <c r="K94" s="1">
        <f t="shared" si="25"/>
        <v>37.129791843191889</v>
      </c>
      <c r="L94" s="7">
        <f t="shared" si="26"/>
        <v>-0.17113318793557658</v>
      </c>
      <c r="M94" s="28">
        <f t="shared" si="18"/>
        <v>0.44444444444444442</v>
      </c>
      <c r="N94" s="7">
        <f t="shared" si="27"/>
        <v>0.02</v>
      </c>
      <c r="O94" s="6" t="str">
        <f t="shared" si="19"/>
        <v>0.352870898160678-3.39531038590856i</v>
      </c>
      <c r="P94" s="1">
        <f t="shared" si="20"/>
        <v>10.664247203098139</v>
      </c>
      <c r="Q94" s="7">
        <f t="shared" si="28"/>
        <v>-84.066613659324801</v>
      </c>
      <c r="R94" s="6" t="str">
        <f t="shared" si="29"/>
        <v>11.4823961175417-1.86648879939903i</v>
      </c>
      <c r="S94" s="81">
        <f t="shared" si="30"/>
        <v>21.313915178209918</v>
      </c>
      <c r="T94" s="88">
        <f t="shared" si="31"/>
        <v>-9.2328003535889565</v>
      </c>
      <c r="U94" s="44" t="str">
        <f>IMPRODUCT(COMPLEX(-1,0),IMDIV(COMPLEX(1,C94*Calculations!$B$204*Calculations!$B$206),IMPRODUCT(COMPLEX(0,C94*Calculations!$B$193),COMPLEX((Calculations!$B$206+Calculations!$B$208),C94*Calculations!$B$204*Calculations!$B$206*Calculations!$B$208))))</f>
        <v>-0.917879717756569+12.7157933326415i</v>
      </c>
      <c r="V94" s="44">
        <f t="shared" si="32"/>
        <v>22.109439650729428</v>
      </c>
      <c r="W94" s="44">
        <f t="shared" si="33"/>
        <v>94.128690581703125</v>
      </c>
      <c r="X94" s="44">
        <f>Calculations!$B$216/(Calculations!$B$216+Calculations!$B$218)</f>
        <v>0.80079681274900394</v>
      </c>
      <c r="Y94" s="44" t="str">
        <f t="shared" si="34"/>
        <v>10.5660553465549+118.294496531958i</v>
      </c>
      <c r="Z94" s="44">
        <f t="shared" si="35"/>
        <v>41.49380154772841</v>
      </c>
      <c r="AA94" s="44">
        <f t="shared" si="36"/>
        <v>84.89589022811424</v>
      </c>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row>
    <row r="95" spans="2:70">
      <c r="B95" s="1">
        <v>59.948425031894104</v>
      </c>
      <c r="C95" s="24">
        <f t="shared" si="14"/>
        <v>376.66706334895395</v>
      </c>
      <c r="D95" s="28" t="str">
        <f t="shared" si="21"/>
        <v>0.237059611127408-0.0170212742481998i</v>
      </c>
      <c r="E95" s="1">
        <f t="shared" si="15"/>
        <v>-12.480516205072496</v>
      </c>
      <c r="F95" s="7">
        <f t="shared" si="22"/>
        <v>-4.1068842623648152</v>
      </c>
      <c r="G95" s="6" t="str">
        <f t="shared" si="16"/>
        <v>301.689906778977+20.4921219045146i</v>
      </c>
      <c r="H95" s="1">
        <f t="shared" si="23"/>
        <v>49.611206715724819</v>
      </c>
      <c r="I95" s="7">
        <f t="shared" si="24"/>
        <v>3.8858157828215867</v>
      </c>
      <c r="J95" s="28" t="str">
        <f t="shared" si="17"/>
        <v>71.8672940089526-0.277292191339131i</v>
      </c>
      <c r="K95" s="1">
        <f t="shared" si="25"/>
        <v>37.130690510652329</v>
      </c>
      <c r="L95" s="7">
        <f t="shared" si="26"/>
        <v>-0.22106847954322975</v>
      </c>
      <c r="M95" s="28">
        <f t="shared" si="18"/>
        <v>0.44444444444444442</v>
      </c>
      <c r="N95" s="7">
        <f t="shared" si="27"/>
        <v>0.02</v>
      </c>
      <c r="O95" s="6" t="str">
        <f t="shared" si="19"/>
        <v>0.352870638291399-2.62905716704623i</v>
      </c>
      <c r="P95" s="1">
        <f t="shared" si="20"/>
        <v>8.4735417843657572</v>
      </c>
      <c r="Q95" s="7">
        <f t="shared" si="28"/>
        <v>-82.355477843892061</v>
      </c>
      <c r="R95" s="6" t="str">
        <f t="shared" si="29"/>
        <v>11.2186128229692-2.32751295967339i</v>
      </c>
      <c r="S95" s="81">
        <f t="shared" si="30"/>
        <v>21.181806713863146</v>
      </c>
      <c r="T95" s="88">
        <f t="shared" si="31"/>
        <v>-11.720811135798376</v>
      </c>
      <c r="U95" s="44" t="str">
        <f>IMPRODUCT(COMPLEX(-1,0),IMDIV(COMPLEX(1,C95*Calculations!$B$204*Calculations!$B$206),IMPRODUCT(COMPLEX(0,C95*Calculations!$B$193),COMPLEX((Calculations!$B$206+Calculations!$B$208),C95*Calculations!$B$204*Calculations!$B$206*Calculations!$B$208))))</f>
        <v>-0.917879398192779+9.84571972695172i</v>
      </c>
      <c r="V95" s="44">
        <f t="shared" si="32"/>
        <v>19.902531399180237</v>
      </c>
      <c r="W95" s="44">
        <f t="shared" si="33"/>
        <v>95.326075630261272</v>
      </c>
      <c r="X95" s="44">
        <f>Calculations!$B$216/(Calculations!$B$216+Calculations!$B$218)</f>
        <v>0.80079681274900394</v>
      </c>
      <c r="Y95" s="44" t="str">
        <f t="shared" si="34"/>
        <v>10.1050200865847+90.1630695169134i</v>
      </c>
      <c r="Z95" s="44">
        <f t="shared" si="35"/>
        <v>39.15478483183238</v>
      </c>
      <c r="AA95" s="44">
        <f t="shared" si="36"/>
        <v>83.605264494462872</v>
      </c>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row>
    <row r="96" spans="2:70">
      <c r="B96" s="1">
        <v>77.426368268112768</v>
      </c>
      <c r="C96" s="24">
        <f t="shared" si="14"/>
        <v>486.48421949048191</v>
      </c>
      <c r="D96" s="28" t="str">
        <f t="shared" si="21"/>
        <v>0.236216511921036-0.0219023370341285i</v>
      </c>
      <c r="E96" s="1">
        <f t="shared" si="15"/>
        <v>-12.496617085488626</v>
      </c>
      <c r="F96" s="7">
        <f t="shared" si="22"/>
        <v>-5.2974012333367435</v>
      </c>
      <c r="G96" s="6" t="str">
        <f t="shared" si="16"/>
        <v>301.839962875907+26.4701674435916i</v>
      </c>
      <c r="H96" s="1">
        <f t="shared" si="23"/>
        <v>49.628806824508622</v>
      </c>
      <c r="I96" s="7">
        <f t="shared" si="24"/>
        <v>5.0117909492135544</v>
      </c>
      <c r="J96" s="28" t="str">
        <f t="shared" si="17"/>
        <v>71.8793417176213-0.35830997378597i</v>
      </c>
      <c r="K96" s="1">
        <f t="shared" si="25"/>
        <v>37.132189739020021</v>
      </c>
      <c r="L96" s="7">
        <f t="shared" si="26"/>
        <v>-0.28561028412318296</v>
      </c>
      <c r="M96" s="28">
        <f t="shared" si="18"/>
        <v>0.44444444444444442</v>
      </c>
      <c r="N96" s="7">
        <f t="shared" si="27"/>
        <v>0.02</v>
      </c>
      <c r="O96" s="6" t="str">
        <f t="shared" si="19"/>
        <v>0.352870204804173-2.03583100114505i</v>
      </c>
      <c r="P96" s="1">
        <f t="shared" si="20"/>
        <v>6.3033889622727504</v>
      </c>
      <c r="Q96" s="7">
        <f t="shared" si="28"/>
        <v>-80.166631905503934</v>
      </c>
      <c r="R96" s="6" t="str">
        <f t="shared" si="29"/>
        <v>10.8188237311877-2.8434327546192i</v>
      </c>
      <c r="S96" s="81">
        <f t="shared" si="30"/>
        <v>20.973685829869751</v>
      </c>
      <c r="T96" s="88">
        <f t="shared" si="31"/>
        <v>-14.725601414767167</v>
      </c>
      <c r="U96" s="44" t="str">
        <f>IMPRODUCT(COMPLEX(-1,0),IMDIV(COMPLEX(1,C96*Calculations!$B$204*Calculations!$B$206),IMPRODUCT(COMPLEX(0,C96*Calculations!$B$193),COMPLEX((Calculations!$B$206+Calculations!$B$208),C96*Calculations!$B$204*Calculations!$B$206*Calculations!$B$208))))</f>
        <v>-0.917878865128749+7.62362589655815i</v>
      </c>
      <c r="V96" s="44">
        <f t="shared" si="32"/>
        <v>17.70573483800516</v>
      </c>
      <c r="W96" s="44">
        <f t="shared" si="33"/>
        <v>96.865323142106249</v>
      </c>
      <c r="X96" s="44">
        <f>Calculations!$B$216/(Calculations!$B$216+Calculations!$B$218)</f>
        <v>0.80079681274900394</v>
      </c>
      <c r="Y96" s="44" t="str">
        <f t="shared" si="34"/>
        <v>9.4068784258966+68.1386729523877i</v>
      </c>
      <c r="Z96" s="44">
        <f t="shared" si="35"/>
        <v>36.749867386663936</v>
      </c>
      <c r="AA96" s="44">
        <f t="shared" si="36"/>
        <v>82.139721727339065</v>
      </c>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row>
    <row r="97" spans="2:70">
      <c r="B97" s="1">
        <v>100</v>
      </c>
      <c r="C97" s="24">
        <f t="shared" si="14"/>
        <v>628.31853071795865</v>
      </c>
      <c r="D97" s="28" t="str">
        <f t="shared" si="21"/>
        <v>0.234823960462986-0.0281141295034388i</v>
      </c>
      <c r="E97" s="1">
        <f t="shared" si="15"/>
        <v>-12.523342415104054</v>
      </c>
      <c r="F97" s="7">
        <f t="shared" si="22"/>
        <v>-6.8271995471751241</v>
      </c>
      <c r="G97" s="6" t="str">
        <f t="shared" si="16"/>
        <v>302.090451969261+34.1952381500376i</v>
      </c>
      <c r="H97" s="1">
        <f t="shared" si="23"/>
        <v>49.658033464996009</v>
      </c>
      <c r="I97" s="7">
        <f t="shared" si="24"/>
        <v>6.4581270687982295</v>
      </c>
      <c r="J97" s="28" t="str">
        <f t="shared" si="17"/>
        <v>71.8994457032266-0.463148837049337i</v>
      </c>
      <c r="K97" s="1">
        <f t="shared" si="25"/>
        <v>37.134691049891977</v>
      </c>
      <c r="L97" s="7">
        <f t="shared" si="26"/>
        <v>-0.36907247837688928</v>
      </c>
      <c r="M97" s="28">
        <f t="shared" si="18"/>
        <v>0.44444444444444442</v>
      </c>
      <c r="N97" s="7">
        <f t="shared" si="27"/>
        <v>0.02</v>
      </c>
      <c r="O97" s="6" t="str">
        <f t="shared" si="19"/>
        <v>0.352869481706265-1.57658968772475i</v>
      </c>
      <c r="P97" s="1">
        <f t="shared" si="20"/>
        <v>4.1666578463138846</v>
      </c>
      <c r="Q97" s="7">
        <f t="shared" si="28"/>
        <v>-77.384081656036102</v>
      </c>
      <c r="R97" s="6" t="str">
        <f t="shared" si="29"/>
        <v>10.244671575105-3.37103456037i</v>
      </c>
      <c r="S97" s="81">
        <f t="shared" si="30"/>
        <v>20.656438260853239</v>
      </c>
      <c r="T97" s="88">
        <f t="shared" si="31"/>
        <v>-18.213918570553634</v>
      </c>
      <c r="U97" s="44" t="str">
        <f>IMPRODUCT(COMPLEX(-1,0),IMDIV(COMPLEX(1,C97*Calculations!$B$204*Calculations!$B$206),IMPRODUCT(COMPLEX(0,C97*Calculations!$B$193),COMPLEX((Calculations!$B$206+Calculations!$B$208),C97*Calculations!$B$204*Calculations!$B$206*Calculations!$B$208))))</f>
        <v>-0.917877975925747+5.90326840711318i</v>
      </c>
      <c r="V97" s="44">
        <f t="shared" si="32"/>
        <v>15.52559663780851</v>
      </c>
      <c r="W97" s="44">
        <f t="shared" si="33"/>
        <v>98.837946029913809</v>
      </c>
      <c r="X97" s="44">
        <f>Calculations!$B$216/(Calculations!$B$216+Calculations!$B$218)</f>
        <v>0.80079681274900394</v>
      </c>
      <c r="Y97" s="44" t="str">
        <f t="shared" si="34"/>
        <v>8.40577468301848+50.9076499217243i</v>
      </c>
      <c r="Z97" s="44">
        <f t="shared" si="35"/>
        <v>34.252481617450762</v>
      </c>
      <c r="AA97" s="44">
        <f t="shared" si="36"/>
        <v>80.62402745936015</v>
      </c>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row>
    <row r="98" spans="2:70">
      <c r="B98" s="1">
        <v>129.15496650148842</v>
      </c>
      <c r="C98" s="24">
        <f t="shared" si="14"/>
        <v>811.50458787142372</v>
      </c>
      <c r="D98" s="28" t="str">
        <f t="shared" si="21"/>
        <v>0.232538742881338-0.0359423742513957i</v>
      </c>
      <c r="E98" s="1">
        <f t="shared" si="15"/>
        <v>-12.567559008535195</v>
      </c>
      <c r="F98" s="7">
        <f t="shared" si="22"/>
        <v>-8.7863981082915963</v>
      </c>
      <c r="G98" s="6" t="str">
        <f t="shared" si="16"/>
        <v>302.508795618807+44.1814486368472i</v>
      </c>
      <c r="H98" s="1">
        <f t="shared" si="23"/>
        <v>49.706423741266413</v>
      </c>
      <c r="I98" s="7">
        <f t="shared" si="24"/>
        <v>8.3093074014915764</v>
      </c>
      <c r="J98" s="28" t="str">
        <f t="shared" si="17"/>
        <v>71.9330012056193-0.598985821781316i</v>
      </c>
      <c r="K98" s="1">
        <f t="shared" si="25"/>
        <v>37.138864732731214</v>
      </c>
      <c r="L98" s="7">
        <f t="shared" si="26"/>
        <v>-0.47709070680004911</v>
      </c>
      <c r="M98" s="28">
        <f t="shared" si="18"/>
        <v>0.44444444444444442</v>
      </c>
      <c r="N98" s="7">
        <f t="shared" si="27"/>
        <v>0.02</v>
      </c>
      <c r="O98" s="6" t="str">
        <f t="shared" si="19"/>
        <v>0.352868275512853-1.22110901733923i</v>
      </c>
      <c r="P98" s="1">
        <f t="shared" si="20"/>
        <v>2.0834009492006658</v>
      </c>
      <c r="Q98" s="7">
        <f t="shared" si="28"/>
        <v>-73.882101848876303</v>
      </c>
      <c r="R98" s="6" t="str">
        <f t="shared" si="29"/>
        <v>9.4805502171412-3.83678415231987i</v>
      </c>
      <c r="S98" s="81">
        <f t="shared" si="30"/>
        <v>20.195389298448085</v>
      </c>
      <c r="T98" s="88">
        <f t="shared" si="31"/>
        <v>-22.033207740748662</v>
      </c>
      <c r="U98" s="44" t="str">
        <f>IMPRODUCT(COMPLEX(-1,0),IMDIV(COMPLEX(1,C98*Calculations!$B$204*Calculations!$B$206),IMPRODUCT(COMPLEX(0,C98*Calculations!$B$193),COMPLEX((Calculations!$B$206+Calculations!$B$208),C98*Calculations!$B$204*Calculations!$B$206*Calculations!$B$208))))</f>
        <v>-0.917876492649559+4.57142477197972i</v>
      </c>
      <c r="V98" s="44">
        <f t="shared" si="32"/>
        <v>13.372679638953553</v>
      </c>
      <c r="W98" s="44">
        <f t="shared" si="33"/>
        <v>101.35320901275999</v>
      </c>
      <c r="X98" s="44">
        <f>Calculations!$B$216/(Calculations!$B$216+Calculations!$B$218)</f>
        <v>0.80079681274900394</v>
      </c>
      <c r="Y98" s="44" t="str">
        <f t="shared" si="34"/>
        <v>7.07711865867846+37.5263925704374i</v>
      </c>
      <c r="Z98" s="44">
        <f t="shared" si="35"/>
        <v>31.63851565619067</v>
      </c>
      <c r="AA98" s="44">
        <f t="shared" si="36"/>
        <v>79.320001272011353</v>
      </c>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row>
    <row r="99" spans="2:70">
      <c r="B99" s="1">
        <v>166.81005372000601</v>
      </c>
      <c r="C99" s="24">
        <f t="shared" si="14"/>
        <v>1048.0984786233792</v>
      </c>
      <c r="D99" s="28" t="str">
        <f t="shared" si="21"/>
        <v>0.228828247951716-0.0456487538915484i</v>
      </c>
      <c r="E99" s="1">
        <f t="shared" si="15"/>
        <v>-12.640326189484117</v>
      </c>
      <c r="F99" s="7">
        <f t="shared" si="22"/>
        <v>-11.281786205850375</v>
      </c>
      <c r="G99" s="6" t="str">
        <f t="shared" si="16"/>
        <v>303.208036261013+57.0983218187035i</v>
      </c>
      <c r="H99" s="1">
        <f t="shared" si="23"/>
        <v>49.786156510452244</v>
      </c>
      <c r="I99" s="7">
        <f t="shared" si="24"/>
        <v>10.664704102643128</v>
      </c>
      <c r="J99" s="28" t="str">
        <f t="shared" si="17"/>
        <v>71.9890309428105-0.775360082461424i</v>
      </c>
      <c r="K99" s="1">
        <f t="shared" si="25"/>
        <v>37.145830320968145</v>
      </c>
      <c r="L99" s="7">
        <f t="shared" si="26"/>
        <v>-0.61708210320718304</v>
      </c>
      <c r="M99" s="28">
        <f t="shared" si="18"/>
        <v>0.44444444444444442</v>
      </c>
      <c r="N99" s="7">
        <f t="shared" si="27"/>
        <v>0.02</v>
      </c>
      <c r="O99" s="6" t="str">
        <f t="shared" si="19"/>
        <v>0.352866263479324-0.94599361442321i</v>
      </c>
      <c r="P99" s="1">
        <f t="shared" si="20"/>
        <v>8.3525185792531431E-2</v>
      </c>
      <c r="Q99" s="7">
        <f t="shared" si="28"/>
        <v>-69.543918609913518</v>
      </c>
      <c r="R99" s="6" t="str">
        <f t="shared" si="29"/>
        <v>8.5596612818688-4.15348975048451i</v>
      </c>
      <c r="S99" s="81">
        <f t="shared" si="30"/>
        <v>19.567410830403858</v>
      </c>
      <c r="T99" s="88">
        <f t="shared" si="31"/>
        <v>-25.884514980694671</v>
      </c>
      <c r="U99" s="44" t="str">
        <f>IMPRODUCT(COMPLEX(-1,0),IMDIV(COMPLEX(1,C99*Calculations!$B$204*Calculations!$B$206),IMPRODUCT(COMPLEX(0,C99*Calculations!$B$193),COMPLEX((Calculations!$B$206+Calculations!$B$208),C99*Calculations!$B$204*Calculations!$B$206*Calculations!$B$208))))</f>
        <v>-0.917874018406426+3.54044190071864i</v>
      </c>
      <c r="V99" s="44">
        <f t="shared" si="32"/>
        <v>11.263659203194171</v>
      </c>
      <c r="W99" s="44">
        <f t="shared" si="33"/>
        <v>104.53417718176254</v>
      </c>
      <c r="X99" s="44">
        <f>Calculations!$B$216/(Calculations!$B$216+Calculations!$B$218)</f>
        <v>0.80079681274900394</v>
      </c>
      <c r="Y99" s="44" t="str">
        <f t="shared" si="34"/>
        <v>5.48425573074352+27.3210761792066i</v>
      </c>
      <c r="Z99" s="44">
        <f t="shared" si="35"/>
        <v>28.901516752387032</v>
      </c>
      <c r="AA99" s="44">
        <f t="shared" si="36"/>
        <v>78.649662201067869</v>
      </c>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row>
    <row r="100" spans="2:70">
      <c r="B100" s="1">
        <v>215.44346900318828</v>
      </c>
      <c r="C100" s="24">
        <f t="shared" si="14"/>
        <v>1353.6712389686331</v>
      </c>
      <c r="D100" s="28" t="str">
        <f t="shared" si="21"/>
        <v>0.222906195856843-0.0573650191598043i</v>
      </c>
      <c r="E100" s="1">
        <f t="shared" si="15"/>
        <v>-12.759051167002792</v>
      </c>
      <c r="F100" s="7">
        <f t="shared" si="22"/>
        <v>-14.431931321910813</v>
      </c>
      <c r="G100" s="6" t="str">
        <f t="shared" si="16"/>
        <v>304.378351927641+73.8224990049943i</v>
      </c>
      <c r="H100" s="1">
        <f t="shared" si="23"/>
        <v>49.916510441350411</v>
      </c>
      <c r="I100" s="7">
        <f t="shared" si="24"/>
        <v>13.633005366874313</v>
      </c>
      <c r="J100" s="28" t="str">
        <f t="shared" si="17"/>
        <v>72.082649599212-1.00517756830993i</v>
      </c>
      <c r="K100" s="1">
        <f t="shared" si="25"/>
        <v>37.157459274347623</v>
      </c>
      <c r="L100" s="7">
        <f t="shared" si="26"/>
        <v>-0.79892595503650332</v>
      </c>
      <c r="M100" s="28">
        <f t="shared" si="18"/>
        <v>0.44444444444444442</v>
      </c>
      <c r="N100" s="7">
        <f t="shared" si="27"/>
        <v>0.02</v>
      </c>
      <c r="O100" s="6" t="str">
        <f t="shared" si="19"/>
        <v>0.352862907256175-0.733137207693827i</v>
      </c>
      <c r="P100" s="1">
        <f t="shared" si="20"/>
        <v>-1.7914043829747324</v>
      </c>
      <c r="Q100" s="7">
        <f t="shared" si="28"/>
        <v>-64.298236200322805</v>
      </c>
      <c r="R100" s="6" t="str">
        <f t="shared" si="29"/>
        <v>7.5715910114075-4.26121601112818i</v>
      </c>
      <c r="S100" s="81">
        <f t="shared" si="30"/>
        <v>18.778718917946488</v>
      </c>
      <c r="T100" s="88">
        <f t="shared" si="31"/>
        <v>-29.370375809424029</v>
      </c>
      <c r="U100" s="44" t="str">
        <f>IMPRODUCT(COMPLEX(-1,0),IMDIV(COMPLEX(1,C100*Calculations!$B$204*Calculations!$B$206),IMPRODUCT(COMPLEX(0,C100*Calculations!$B$193),COMPLEX((Calculations!$B$206+Calculations!$B$208),C100*Calculations!$B$204*Calculations!$B$206*Calculations!$B$208))))</f>
        <v>-0.917869891149802+2.74246735440794i</v>
      </c>
      <c r="V100" s="44">
        <f t="shared" si="32"/>
        <v>9.223938940505704</v>
      </c>
      <c r="W100" s="44">
        <f t="shared" si="33"/>
        <v>108.50475620999157</v>
      </c>
      <c r="X100" s="44">
        <f>Calculations!$B$216/(Calculations!$B$216+Calculations!$B$218)</f>
        <v>0.80079681274900394</v>
      </c>
      <c r="Y100" s="44" t="str">
        <f t="shared" si="34"/>
        <v>3.79298241836149+19.7605286543775i</v>
      </c>
      <c r="Z100" s="44">
        <f t="shared" si="35"/>
        <v>26.07310457724121</v>
      </c>
      <c r="AA100" s="44">
        <f t="shared" si="36"/>
        <v>79.134380400567551</v>
      </c>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row>
    <row r="101" spans="2:70">
      <c r="B101" s="81">
        <v>278.25594022071277</v>
      </c>
      <c r="C101" s="84">
        <f t="shared" si="14"/>
        <v>1748.3336352302238</v>
      </c>
      <c r="D101" s="87" t="str">
        <f t="shared" si="21"/>
        <v>0.213708897735531-0.0708952220752167i</v>
      </c>
      <c r="E101" s="81">
        <f t="shared" si="15"/>
        <v>-12.950123811628941</v>
      </c>
      <c r="F101" s="88">
        <f t="shared" si="22"/>
        <v>-18.352610336754498</v>
      </c>
      <c r="G101" s="6" t="str">
        <f t="shared" si="16"/>
        <v>306.341500035745+95.511993635566i</v>
      </c>
      <c r="H101" s="81">
        <f t="shared" si="23"/>
        <v>50.12700824584411</v>
      </c>
      <c r="I101" s="88">
        <f t="shared" si="24"/>
        <v>17.316577484121634</v>
      </c>
      <c r="J101" s="28" t="str">
        <f t="shared" si="17"/>
        <v>72.2392483029282-1.30638579550934i</v>
      </c>
      <c r="K101" s="81">
        <f t="shared" si="25"/>
        <v>37.176884434215154</v>
      </c>
      <c r="L101" s="88">
        <f t="shared" si="26"/>
        <v>-1.0360328526329086</v>
      </c>
      <c r="M101" s="28">
        <f t="shared" si="18"/>
        <v>0.44444444444444442</v>
      </c>
      <c r="N101" s="88">
        <f t="shared" si="27"/>
        <v>0.02</v>
      </c>
      <c r="O101" s="91" t="str">
        <f t="shared" si="19"/>
        <v>0.352857308880607-0.568530992350642i</v>
      </c>
      <c r="P101" s="81">
        <f t="shared" si="20"/>
        <v>-3.4897820836385582</v>
      </c>
      <c r="Q101" s="88">
        <f t="shared" si="28"/>
        <v>-58.174299239810843</v>
      </c>
      <c r="R101" s="91" t="str">
        <f t="shared" si="29"/>
        <v>6.63004094239342-4.16625597699376i</v>
      </c>
      <c r="S101" s="81">
        <f t="shared" si="30"/>
        <v>17.875676658804139</v>
      </c>
      <c r="T101" s="88">
        <f t="shared" si="31"/>
        <v>-32.144871583042224</v>
      </c>
      <c r="U101" s="44" t="str">
        <f>IMPRODUCT(COMPLEX(-1,0),IMDIV(COMPLEX(1,C101*Calculations!$B$204*Calculations!$B$206),IMPRODUCT(COMPLEX(0,C101*Calculations!$B$193),COMPLEX((Calculations!$B$206+Calculations!$B$208),C101*Calculations!$B$204*Calculations!$B$206*Calculations!$B$208))))</f>
        <v>-0.917863006553411+2.12498374655171i</v>
      </c>
      <c r="V101" s="44">
        <f t="shared" si="32"/>
        <v>7.290050130133551</v>
      </c>
      <c r="W101" s="44">
        <f t="shared" si="33"/>
        <v>113.36139113760606</v>
      </c>
      <c r="X101" s="44">
        <f>Calculations!$B$216/(Calculations!$B$216+Calculations!$B$218)</f>
        <v>0.80079681274900394</v>
      </c>
      <c r="Y101" s="44" t="str">
        <f t="shared" si="34"/>
        <v>2.21641092170427+14.3444983155907i</v>
      </c>
      <c r="Z101" s="44">
        <f t="shared" si="35"/>
        <v>23.236173507726683</v>
      </c>
      <c r="AA101" s="44">
        <f t="shared" si="36"/>
        <v>81.216519554563817</v>
      </c>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row>
    <row r="102" spans="2:70">
      <c r="B102" s="81">
        <v>359.38136638046274</v>
      </c>
      <c r="C102" s="84">
        <f t="shared" si="14"/>
        <v>2258.0597209158473</v>
      </c>
      <c r="D102" s="87" t="str">
        <f t="shared" si="21"/>
        <v>0.200013418823053-0.0854208920766061i</v>
      </c>
      <c r="E102" s="81">
        <f t="shared" si="15"/>
        <v>-13.251196101372397</v>
      </c>
      <c r="F102" s="88">
        <f t="shared" si="22"/>
        <v>-23.126155639715734</v>
      </c>
      <c r="G102" s="6" t="str">
        <f t="shared" si="16"/>
        <v>309.646954862489+123.718383363279i</v>
      </c>
      <c r="H102" s="81">
        <f t="shared" si="23"/>
        <v>50.460558679258682</v>
      </c>
      <c r="I102" s="88">
        <f t="shared" si="24"/>
        <v>21.779010496368585</v>
      </c>
      <c r="J102" s="28" t="str">
        <f t="shared" si="17"/>
        <v>72.5016807433609-1.70498228540786i</v>
      </c>
      <c r="K102" s="81">
        <f t="shared" si="25"/>
        <v>37.209362577886289</v>
      </c>
      <c r="L102" s="88">
        <f t="shared" si="26"/>
        <v>-1.3471451433471699</v>
      </c>
      <c r="M102" s="28">
        <f t="shared" si="18"/>
        <v>0.44444444444444442</v>
      </c>
      <c r="N102" s="88">
        <f t="shared" si="27"/>
        <v>0.02</v>
      </c>
      <c r="O102" s="91" t="str">
        <f t="shared" si="19"/>
        <v>0.352847970622616-0.441341656254245i</v>
      </c>
      <c r="P102" s="81">
        <f t="shared" si="20"/>
        <v>-4.9582264313532161</v>
      </c>
      <c r="Q102" s="88">
        <f t="shared" si="28"/>
        <v>-51.35803516360378</v>
      </c>
      <c r="R102" s="91" t="str">
        <f t="shared" si="29"/>
        <v>5.81820519922059-3.93996684743069i</v>
      </c>
      <c r="S102" s="81">
        <f t="shared" si="30"/>
        <v>16.935057936468031</v>
      </c>
      <c r="T102" s="88">
        <f t="shared" si="31"/>
        <v>-34.105035516159369</v>
      </c>
      <c r="U102" s="44" t="str">
        <f>IMPRODUCT(COMPLEX(-1,0),IMDIV(COMPLEX(1,C102*Calculations!$B$204*Calculations!$B$206),IMPRODUCT(COMPLEX(0,C102*Calculations!$B$193),COMPLEX((Calculations!$B$206+Calculations!$B$208),C102*Calculations!$B$204*Calculations!$B$206*Calculations!$B$208))))</f>
        <v>-0.917851522584301+1.64735239173684i</v>
      </c>
      <c r="V102" s="44">
        <f t="shared" si="32"/>
        <v>5.5098878128995015</v>
      </c>
      <c r="W102" s="44">
        <f t="shared" si="33"/>
        <v>119.12513915578498</v>
      </c>
      <c r="X102" s="44">
        <f>Calculations!$B$216/(Calculations!$B$216+Calculations!$B$218)</f>
        <v>0.80079681274900394</v>
      </c>
      <c r="Y102" s="44" t="str">
        <f t="shared" si="34"/>
        <v>0.921128792995714+10.5712697326691i</v>
      </c>
      <c r="Z102" s="44">
        <f t="shared" si="35"/>
        <v>20.515392468156577</v>
      </c>
      <c r="AA102" s="44">
        <f t="shared" si="36"/>
        <v>85.020103639625646</v>
      </c>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row>
    <row r="103" spans="2:70">
      <c r="B103" s="81">
        <v>464.15888336127819</v>
      </c>
      <c r="C103" s="84">
        <f t="shared" si="14"/>
        <v>2916.3962761324665</v>
      </c>
      <c r="D103" s="87" t="str">
        <f t="shared" si="21"/>
        <v>0.180846182269433-0.0992200054281461i</v>
      </c>
      <c r="E103" s="81">
        <f t="shared" si="15"/>
        <v>-13.711009344968712</v>
      </c>
      <c r="F103" s="88">
        <f t="shared" si="22"/>
        <v>-28.751069630669303</v>
      </c>
      <c r="G103" s="6" t="str">
        <f t="shared" si="16"/>
        <v>315.247574946227+160.567521339241i</v>
      </c>
      <c r="H103" s="81">
        <f t="shared" si="23"/>
        <v>50.974758336910298</v>
      </c>
      <c r="I103" s="88">
        <f t="shared" si="24"/>
        <v>26.991465969879719</v>
      </c>
      <c r="J103" s="28" t="str">
        <f t="shared" si="17"/>
        <v>72.9428307375857-2.24084286670705i</v>
      </c>
      <c r="K103" s="81">
        <f t="shared" si="25"/>
        <v>37.263748991941611</v>
      </c>
      <c r="L103" s="88">
        <f t="shared" si="26"/>
        <v>-1.7596036607895491</v>
      </c>
      <c r="M103" s="28">
        <f t="shared" si="18"/>
        <v>0.44444444444444442</v>
      </c>
      <c r="N103" s="88">
        <f t="shared" si="27"/>
        <v>0.02</v>
      </c>
      <c r="O103" s="91" t="str">
        <f t="shared" si="19"/>
        <v>0.35283239456931-0.343198387275249i</v>
      </c>
      <c r="P103" s="81">
        <f t="shared" si="20"/>
        <v>-6.1568990690657719</v>
      </c>
      <c r="Q103" s="88">
        <f t="shared" si="28"/>
        <v>-44.206999567135036</v>
      </c>
      <c r="R103" s="91" t="str">
        <f t="shared" si="29"/>
        <v>5.15685312899429-3.67759431828377i</v>
      </c>
      <c r="S103" s="81">
        <f t="shared" si="30"/>
        <v>16.033374787835605</v>
      </c>
      <c r="T103" s="88">
        <f t="shared" si="31"/>
        <v>-35.494452579919546</v>
      </c>
      <c r="U103" s="44" t="str">
        <f>IMPRODUCT(COMPLEX(-1,0),IMDIV(COMPLEX(1,C103*Calculations!$B$204*Calculations!$B$206),IMPRODUCT(COMPLEX(0,C103*Calculations!$B$193),COMPLEX((Calculations!$B$206+Calculations!$B$208),C103*Calculations!$B$204*Calculations!$B$206*Calculations!$B$208))))</f>
        <v>-0.917832366808726+1.27813872407298i</v>
      </c>
      <c r="V103" s="44">
        <f t="shared" si="32"/>
        <v>3.9376026129146249</v>
      </c>
      <c r="W103" s="44">
        <f t="shared" si="33"/>
        <v>125.68215551625666</v>
      </c>
      <c r="X103" s="44">
        <f>Calculations!$B$216/(Calculations!$B$216+Calculations!$B$218)</f>
        <v>0.80079681274900394</v>
      </c>
      <c r="Y103" s="44" t="str">
        <f t="shared" si="34"/>
        <v>-0.0261468191679344+7.98121252567045i</v>
      </c>
      <c r="Z103" s="44">
        <f t="shared" si="35"/>
        <v>18.04142411953924</v>
      </c>
      <c r="AA103" s="44">
        <f t="shared" si="36"/>
        <v>90.187702936337132</v>
      </c>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row>
    <row r="104" spans="2:70">
      <c r="B104" s="81">
        <v>599.48425031894124</v>
      </c>
      <c r="C104" s="84">
        <f t="shared" si="14"/>
        <v>3766.6706334895407</v>
      </c>
      <c r="D104" s="87" t="str">
        <f t="shared" si="21"/>
        <v>0.15622572206098-0.109723781436061i</v>
      </c>
      <c r="E104" s="81">
        <f t="shared" si="15"/>
        <v>-14.38352697734816</v>
      </c>
      <c r="F104" s="88">
        <f t="shared" si="22"/>
        <v>-35.081953642312691</v>
      </c>
      <c r="G104" s="6" t="str">
        <f t="shared" si="16"/>
        <v>324.83760106772+209.072590748196i</v>
      </c>
      <c r="H104" s="81">
        <f t="shared" si="23"/>
        <v>51.738585116065117</v>
      </c>
      <c r="I104" s="88">
        <f t="shared" si="24"/>
        <v>32.766219422021535</v>
      </c>
      <c r="J104" s="28" t="str">
        <f t="shared" si="17"/>
        <v>73.6882240308874-2.97989348897202i</v>
      </c>
      <c r="K104" s="81">
        <f t="shared" si="25"/>
        <v>37.355058138716977</v>
      </c>
      <c r="L104" s="88">
        <f t="shared" si="26"/>
        <v>-2.3157342202910143</v>
      </c>
      <c r="M104" s="28">
        <f t="shared" si="18"/>
        <v>0.44444444444444442</v>
      </c>
      <c r="N104" s="88">
        <f t="shared" si="27"/>
        <v>0.02</v>
      </c>
      <c r="O104" s="91" t="str">
        <f t="shared" si="19"/>
        <v>0.352806415206407-0.267641927424151i</v>
      </c>
      <c r="P104" s="81">
        <f t="shared" si="20"/>
        <v>-7.0751229005481537</v>
      </c>
      <c r="Q104" s="88">
        <f t="shared" si="28"/>
        <v>-37.184261298224897</v>
      </c>
      <c r="R104" s="91" t="str">
        <f t="shared" si="29"/>
        <v>4.61218920807109-3.45469139097312i</v>
      </c>
      <c r="S104" s="81">
        <f t="shared" si="30"/>
        <v>15.212320210931997</v>
      </c>
      <c r="T104" s="88">
        <f t="shared" si="31"/>
        <v>-36.834497348211187</v>
      </c>
      <c r="U104" s="44" t="str">
        <f>IMPRODUCT(COMPLEX(-1,0),IMDIV(COMPLEX(1,C104*Calculations!$B$204*Calculations!$B$206),IMPRODUCT(COMPLEX(0,C104*Calculations!$B$193),COMPLEX((Calculations!$B$206+Calculations!$B$208),C104*Calculations!$B$204*Calculations!$B$206*Calculations!$B$208))))</f>
        <v>-0.917800414828443+0.99304345382437i</v>
      </c>
      <c r="V104" s="44">
        <f t="shared" si="32"/>
        <v>2.6209327894855305</v>
      </c>
      <c r="W104" s="44">
        <f t="shared" si="33"/>
        <v>132.74503687342221</v>
      </c>
      <c r="X104" s="44">
        <f>Calculations!$B$216/(Calculations!$B$216+Calculations!$B$218)</f>
        <v>0.80079681274900394</v>
      </c>
      <c r="Y104" s="44" t="str">
        <f t="shared" si="34"/>
        <v>-0.64256776903098+6.20683314747159i</v>
      </c>
      <c r="Z104" s="44">
        <f t="shared" si="35"/>
        <v>15.903699719206536</v>
      </c>
      <c r="AA104" s="44">
        <f t="shared" si="36"/>
        <v>95.910539525211036</v>
      </c>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row>
    <row r="105" spans="2:70">
      <c r="B105" s="81">
        <v>774.26368268112776</v>
      </c>
      <c r="C105" s="84">
        <f t="shared" si="14"/>
        <v>4864.8421949048197</v>
      </c>
      <c r="D105" s="87" t="str">
        <f t="shared" si="21"/>
        <v>0.127862919765142-0.114301575759504i</v>
      </c>
      <c r="E105" s="81">
        <f t="shared" si="15"/>
        <v>-15.314492122951401</v>
      </c>
      <c r="F105" s="88">
        <f t="shared" si="22"/>
        <v>-41.794752875166438</v>
      </c>
      <c r="G105" s="6" t="str">
        <f t="shared" si="16"/>
        <v>341.553360648452+273.718608697325i</v>
      </c>
      <c r="H105" s="81">
        <f t="shared" si="23"/>
        <v>52.823514722068438</v>
      </c>
      <c r="I105" s="88">
        <f t="shared" si="24"/>
        <v>38.708455599127063</v>
      </c>
      <c r="J105" s="28" t="str">
        <f t="shared" si="17"/>
        <v>74.9584782369109-4.04162682597979i</v>
      </c>
      <c r="K105" s="81">
        <f t="shared" si="25"/>
        <v>37.509022599117031</v>
      </c>
      <c r="L105" s="88">
        <f t="shared" si="26"/>
        <v>-3.0862972760393195</v>
      </c>
      <c r="M105" s="28">
        <f t="shared" si="18"/>
        <v>0.44444444444444442</v>
      </c>
      <c r="N105" s="88">
        <f t="shared" si="27"/>
        <v>0.02</v>
      </c>
      <c r="O105" s="91" t="str">
        <f t="shared" si="19"/>
        <v>0.352763087529746-0.209699392742355i</v>
      </c>
      <c r="P105" s="81">
        <f t="shared" si="20"/>
        <v>-7.736176025855003</v>
      </c>
      <c r="Q105" s="88">
        <f t="shared" si="28"/>
        <v>-30.729291626250827</v>
      </c>
      <c r="R105" s="91" t="str">
        <f t="shared" si="29"/>
        <v>4.12319630506017-3.3060582452502i</v>
      </c>
      <c r="S105" s="81">
        <f t="shared" si="30"/>
        <v>14.460828913237533</v>
      </c>
      <c r="T105" s="88">
        <f t="shared" si="31"/>
        <v>-38.723310658026548</v>
      </c>
      <c r="U105" s="44" t="str">
        <f>IMPRODUCT(COMPLEX(-1,0),IMDIV(COMPLEX(1,C105*Calculations!$B$204*Calculations!$B$206),IMPRODUCT(COMPLEX(0,C105*Calculations!$B$193),COMPLEX((Calculations!$B$206+Calculations!$B$208),C105*Calculations!$B$204*Calculations!$B$206*Calculations!$B$208))))</f>
        <v>-0.917747120663272+0.77330328658286i</v>
      </c>
      <c r="V105" s="44">
        <f t="shared" si="32"/>
        <v>1.5844022099381441</v>
      </c>
      <c r="W105" s="44">
        <f t="shared" si="33"/>
        <v>139.88216223315109</v>
      </c>
      <c r="X105" s="44">
        <f>Calculations!$B$216/(Calculations!$B$216+Calculations!$B$218)</f>
        <v>0.80079681274900394</v>
      </c>
      <c r="Y105" s="44" t="str">
        <f t="shared" si="34"/>
        <v>-0.982950724592136+4.98304360374425i</v>
      </c>
      <c r="Z105" s="44">
        <f t="shared" si="35"/>
        <v>14.115677841964684</v>
      </c>
      <c r="AA105" s="44">
        <f t="shared" si="36"/>
        <v>101.15885157512454</v>
      </c>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row>
    <row r="106" spans="2:70">
      <c r="B106" s="81">
        <v>1000</v>
      </c>
      <c r="C106" s="84">
        <f t="shared" si="14"/>
        <v>6283.1853071795858</v>
      </c>
      <c r="D106" s="87" t="str">
        <f t="shared" si="21"/>
        <v>0.0990118779261502-0.11161257536985i</v>
      </c>
      <c r="E106" s="81">
        <f t="shared" si="15"/>
        <v>-16.524608134300408</v>
      </c>
      <c r="F106" s="88">
        <f t="shared" si="22"/>
        <v>-48.423663730010226</v>
      </c>
      <c r="G106" s="6" t="str">
        <f t="shared" si="16"/>
        <v>371.583101649896+361.632629189889i</v>
      </c>
      <c r="H106" s="81">
        <f t="shared" si="23"/>
        <v>54.295135298978074</v>
      </c>
      <c r="I106" s="88">
        <f t="shared" si="24"/>
        <v>44.222486567136407</v>
      </c>
      <c r="J106" s="28" t="str">
        <f t="shared" si="17"/>
        <v>77.1538897816332-5.66742120359965i</v>
      </c>
      <c r="K106" s="81">
        <f t="shared" si="25"/>
        <v>37.770527164677652</v>
      </c>
      <c r="L106" s="88">
        <f t="shared" si="26"/>
        <v>-4.201177162873841</v>
      </c>
      <c r="M106" s="28">
        <f t="shared" si="18"/>
        <v>0.44444444444444442</v>
      </c>
      <c r="N106" s="88">
        <f t="shared" si="27"/>
        <v>0.02</v>
      </c>
      <c r="O106" s="91" t="str">
        <f t="shared" si="19"/>
        <v>0.352690836286195-0.165556830346043i</v>
      </c>
      <c r="P106" s="81">
        <f t="shared" si="20"/>
        <v>-8.1872854293370221</v>
      </c>
      <c r="Q106" s="88">
        <f t="shared" si="28"/>
        <v>-25.145859984370347</v>
      </c>
      <c r="R106" s="91" t="str">
        <f t="shared" si="29"/>
        <v>3.62795147886072-3.22370123463272i</v>
      </c>
      <c r="S106" s="81">
        <f t="shared" si="30"/>
        <v>13.720698625867335</v>
      </c>
      <c r="T106" s="88">
        <f t="shared" si="31"/>
        <v>-41.623440502181452</v>
      </c>
      <c r="U106" s="44" t="str">
        <f>IMPRODUCT(COMPLEX(-1,0),IMDIV(COMPLEX(1,C106*Calculations!$B$204*Calculations!$B$206),IMPRODUCT(COMPLEX(0,C106*Calculations!$B$193),COMPLEX((Calculations!$B$206+Calculations!$B$208),C106*Calculations!$B$204*Calculations!$B$206*Calculations!$B$208))))</f>
        <v>-0.917658234409624+0.604455911902738i</v>
      </c>
      <c r="V106" s="44">
        <f t="shared" si="32"/>
        <v>0.81874041916559603</v>
      </c>
      <c r="W106" s="44">
        <f t="shared" si="33"/>
        <v>146.62734613519055</v>
      </c>
      <c r="X106" s="44">
        <f>Calculations!$B$216/(Calculations!$B$216+Calculations!$B$218)</f>
        <v>0.80079681274900394</v>
      </c>
      <c r="Y106" s="44" t="str">
        <f t="shared" si="34"/>
        <v>-1.10560753030189+4.12505869820278i</v>
      </c>
      <c r="Z106" s="44">
        <f t="shared" si="35"/>
        <v>12.609885763821953</v>
      </c>
      <c r="AA106" s="44">
        <f t="shared" si="36"/>
        <v>105.00390563300904</v>
      </c>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row>
    <row r="107" spans="2:70">
      <c r="B107" s="81">
        <v>1291.5496650148843</v>
      </c>
      <c r="C107" s="84">
        <f t="shared" si="14"/>
        <v>8115.0458787142379</v>
      </c>
      <c r="D107" s="87" t="str">
        <f t="shared" si="21"/>
        <v>0.0731500376449118-0.102459006946187i</v>
      </c>
      <c r="E107" s="81">
        <f t="shared" si="15"/>
        <v>-18.000042696223929</v>
      </c>
      <c r="F107" s="88">
        <f t="shared" si="22"/>
        <v>-54.475272192788488</v>
      </c>
      <c r="G107" s="6" t="str">
        <f t="shared" si="16"/>
        <v>428.405632342904+485.05293552615i</v>
      </c>
      <c r="H107" s="81">
        <f t="shared" si="23"/>
        <v>56.220146952328861</v>
      </c>
      <c r="I107" s="88">
        <f t="shared" si="24"/>
        <v>48.548601359119893</v>
      </c>
      <c r="J107" s="28" t="str">
        <f t="shared" si="17"/>
        <v>81.0359302235179-8.41237516649437i</v>
      </c>
      <c r="K107" s="81">
        <f t="shared" si="25"/>
        <v>38.220104256104939</v>
      </c>
      <c r="L107" s="88">
        <f t="shared" si="26"/>
        <v>-5.9266708336685756</v>
      </c>
      <c r="M107" s="28">
        <f t="shared" si="18"/>
        <v>0.44444444444444442</v>
      </c>
      <c r="N107" s="88">
        <f t="shared" si="27"/>
        <v>0.02</v>
      </c>
      <c r="O107" s="91" t="str">
        <f t="shared" si="19"/>
        <v>0.352570379787073-0.132307863519917i</v>
      </c>
      <c r="P107" s="81">
        <f t="shared" si="20"/>
        <v>-8.4828933490922793</v>
      </c>
      <c r="Q107" s="88">
        <f t="shared" si="28"/>
        <v>-20.569432432487968</v>
      </c>
      <c r="R107" s="91" t="str">
        <f t="shared" si="29"/>
        <v>3.08515334706511-3.16465728443379i</v>
      </c>
      <c r="S107" s="81">
        <f t="shared" si="30"/>
        <v>12.907739949686887</v>
      </c>
      <c r="T107" s="88">
        <f t="shared" si="31"/>
        <v>-45.728821182312132</v>
      </c>
      <c r="U107" s="44" t="str">
        <f>IMPRODUCT(COMPLEX(-1,0),IMDIV(COMPLEX(1,C107*Calculations!$B$204*Calculations!$B$206),IMPRODUCT(COMPLEX(0,C107*Calculations!$B$193),COMPLEX((Calculations!$B$206+Calculations!$B$208),C107*Calculations!$B$204*Calculations!$B$206*Calculations!$B$208))))</f>
        <v>-0.917510001511109+0.475387897143401i</v>
      </c>
      <c r="V107" s="44">
        <f t="shared" si="32"/>
        <v>0.28497341366156614</v>
      </c>
      <c r="W107" s="44">
        <f t="shared" si="33"/>
        <v>152.61004780229734</v>
      </c>
      <c r="X107" s="44">
        <f>Calculations!$B$216/(Calculations!$B$216+Calculations!$B$218)</f>
        <v>0.80079681274900394</v>
      </c>
      <c r="Y107" s="44" t="str">
        <f t="shared" si="34"/>
        <v>-1.06203217283163+3.4996816878155i</v>
      </c>
      <c r="Z107" s="44">
        <f t="shared" si="35"/>
        <v>11.263160082137489</v>
      </c>
      <c r="AA107" s="44">
        <f t="shared" si="36"/>
        <v>106.8812266199852</v>
      </c>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row>
    <row r="108" spans="2:70">
      <c r="B108" s="81">
        <v>1668.1005372000604</v>
      </c>
      <c r="C108" s="84">
        <f t="shared" si="14"/>
        <v>10480.984786233794</v>
      </c>
      <c r="D108" s="87" t="str">
        <f t="shared" si="21"/>
        <v>0.0524666993978039-0.089263587737808i</v>
      </c>
      <c r="E108" s="81">
        <f t="shared" si="15"/>
        <v>-19.697751293871733</v>
      </c>
      <c r="F108" s="88">
        <f t="shared" si="22"/>
        <v>-59.554150482800203</v>
      </c>
      <c r="G108" s="6" t="str">
        <f t="shared" si="16"/>
        <v>546.13201817683+666.424385394474i</v>
      </c>
      <c r="H108" s="81">
        <f t="shared" si="23"/>
        <v>58.706272243082736</v>
      </c>
      <c r="I108" s="88">
        <f t="shared" si="24"/>
        <v>50.665523628098654</v>
      </c>
      <c r="J108" s="28" t="str">
        <f t="shared" si="17"/>
        <v>88.1411760254741-13.7846154210956i</v>
      </c>
      <c r="K108" s="81">
        <f t="shared" si="25"/>
        <v>39.008520949211004</v>
      </c>
      <c r="L108" s="88">
        <f t="shared" si="26"/>
        <v>-8.8886268547015899</v>
      </c>
      <c r="M108" s="28">
        <f t="shared" si="18"/>
        <v>0.44444444444444442</v>
      </c>
      <c r="N108" s="88">
        <f t="shared" si="27"/>
        <v>0.02</v>
      </c>
      <c r="O108" s="91" t="str">
        <f t="shared" si="19"/>
        <v>0.352369629232918-0.10776167015175i</v>
      </c>
      <c r="P108" s="81">
        <f t="shared" si="20"/>
        <v>-8.6717400510991087</v>
      </c>
      <c r="Q108" s="88">
        <f t="shared" si="28"/>
        <v>-17.004678535838124</v>
      </c>
      <c r="R108" s="91" t="str">
        <f t="shared" si="29"/>
        <v>2.49129508322391-3.06879044700236i</v>
      </c>
      <c r="S108" s="81">
        <f t="shared" si="30"/>
        <v>11.937929529722487</v>
      </c>
      <c r="T108" s="88">
        <f t="shared" si="31"/>
        <v>-50.929734061683199</v>
      </c>
      <c r="U108" s="44" t="str">
        <f>IMPRODUCT(COMPLEX(-1,0),IMDIV(COMPLEX(1,C108*Calculations!$B$204*Calculations!$B$206),IMPRODUCT(COMPLEX(0,C108*Calculations!$B$193),COMPLEX((Calculations!$B$206+Calculations!$B$208),C108*Calculations!$B$204*Calculations!$B$206*Calculations!$B$208))))</f>
        <v>-0.917262840674197+0.377602644630918i</v>
      </c>
      <c r="V108" s="44">
        <f t="shared" si="32"/>
        <v>-7.0248177313206511E-2</v>
      </c>
      <c r="W108" s="44">
        <f t="shared" si="33"/>
        <v>157.62487586525521</v>
      </c>
      <c r="X108" s="44">
        <f>Calculations!$B$216/(Calculations!$B$216+Calculations!$B$218)</f>
        <v>0.80079681274900394</v>
      </c>
      <c r="Y108" s="44" t="str">
        <f t="shared" si="34"/>
        <v>-0.902008734240149+3.0074781594476i</v>
      </c>
      <c r="Z108" s="44">
        <f t="shared" si="35"/>
        <v>9.9381280711982978</v>
      </c>
      <c r="AA108" s="44">
        <f t="shared" si="36"/>
        <v>106.69514180357206</v>
      </c>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row>
    <row r="109" spans="2:70">
      <c r="B109" s="81">
        <v>2154.4346900318833</v>
      </c>
      <c r="C109" s="84">
        <f t="shared" si="14"/>
        <v>13536.712389686336</v>
      </c>
      <c r="D109" s="87" t="str">
        <f t="shared" si="21"/>
        <v>0.0373825063042732-0.0747225339779857i</v>
      </c>
      <c r="E109" s="81">
        <f t="shared" si="15"/>
        <v>-21.560880318299812</v>
      </c>
      <c r="F109" s="88">
        <f t="shared" si="22"/>
        <v>-63.421921590628713</v>
      </c>
      <c r="G109" s="6" t="str">
        <f t="shared" si="16"/>
        <v>832.465536575173+942.972058907636i</v>
      </c>
      <c r="H109" s="81">
        <f t="shared" si="23"/>
        <v>61.992600553506811</v>
      </c>
      <c r="I109" s="88">
        <f t="shared" si="24"/>
        <v>48.561600844040562</v>
      </c>
      <c r="J109" s="28" t="str">
        <f t="shared" si="17"/>
        <v>101.580909881129-26.9532754053723i</v>
      </c>
      <c r="K109" s="81">
        <f t="shared" si="25"/>
        <v>40.431720235207038</v>
      </c>
      <c r="L109" s="88">
        <f t="shared" si="26"/>
        <v>-14.860320746588089</v>
      </c>
      <c r="M109" s="28">
        <f t="shared" si="18"/>
        <v>0.44444444444444442</v>
      </c>
      <c r="N109" s="88">
        <f t="shared" si="27"/>
        <v>0.02</v>
      </c>
      <c r="O109" s="91" t="str">
        <f t="shared" si="19"/>
        <v>0.352035265378509-0.0902972035350369i</v>
      </c>
      <c r="P109" s="81">
        <f t="shared" si="20"/>
        <v>-8.7915500547205578</v>
      </c>
      <c r="Q109" s="88">
        <f t="shared" si="28"/>
        <v>-14.386243331327755</v>
      </c>
      <c r="R109" s="91" t="str">
        <f t="shared" si="29"/>
        <v>1.88460711705159-2.88767659368987i</v>
      </c>
      <c r="S109" s="81">
        <f t="shared" si="30"/>
        <v>10.751971987637681</v>
      </c>
      <c r="T109" s="88">
        <f t="shared" si="31"/>
        <v>-56.870011530607698</v>
      </c>
      <c r="U109" s="44" t="str">
        <f>IMPRODUCT(COMPLEX(-1,0),IMDIV(COMPLEX(1,C109*Calculations!$B$204*Calculations!$B$206),IMPRODUCT(COMPLEX(0,C109*Calculations!$B$193),COMPLEX((Calculations!$B$206+Calculations!$B$208),C109*Calculations!$B$204*Calculations!$B$206*Calculations!$B$208))))</f>
        <v>-0.916850847744419+0.304659846388517i</v>
      </c>
      <c r="V109" s="44">
        <f t="shared" si="32"/>
        <v>-0.29916803340481979</v>
      </c>
      <c r="W109" s="44">
        <f t="shared" si="33"/>
        <v>161.61889810941332</v>
      </c>
      <c r="X109" s="44">
        <f>Calculations!$B$216/(Calculations!$B$216+Calculations!$B$218)</f>
        <v>0.80079681274900394</v>
      </c>
      <c r="Y109" s="44" t="str">
        <f t="shared" si="34"/>
        <v>-0.679191432755416+2.57995339598288i</v>
      </c>
      <c r="Z109" s="44">
        <f t="shared" si="35"/>
        <v>8.5232506730218667</v>
      </c>
      <c r="AA109" s="44">
        <f t="shared" si="36"/>
        <v>104.74888657880562</v>
      </c>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row>
    <row r="110" spans="2:70">
      <c r="B110" s="81">
        <v>2782.5594022071282</v>
      </c>
      <c r="C110" s="84">
        <f t="shared" si="14"/>
        <v>17483.336352302242</v>
      </c>
      <c r="D110" s="87" t="str">
        <f t="shared" si="21"/>
        <v>0.0271059241295555-0.0608136337760821i</v>
      </c>
      <c r="E110" s="81">
        <f t="shared" si="15"/>
        <v>-23.532994103833875</v>
      </c>
      <c r="F110" s="88">
        <f t="shared" si="22"/>
        <v>-65.976455032209287</v>
      </c>
      <c r="G110" s="6" t="str">
        <f t="shared" si="16"/>
        <v>1726.45996990432+1233.76581600102i</v>
      </c>
      <c r="H110" s="81">
        <f t="shared" si="23"/>
        <v>66.534867195207894</v>
      </c>
      <c r="I110" s="88">
        <f t="shared" si="24"/>
        <v>35.550424020464938</v>
      </c>
      <c r="J110" s="28" t="str">
        <f t="shared" si="17"/>
        <v>121.827075456676-71.5499417366641i</v>
      </c>
      <c r="K110" s="81">
        <f t="shared" si="25"/>
        <v>43.001873091373994</v>
      </c>
      <c r="L110" s="88">
        <f t="shared" si="26"/>
        <v>-30.426031011744353</v>
      </c>
      <c r="M110" s="28">
        <f t="shared" si="18"/>
        <v>0.44444444444444442</v>
      </c>
      <c r="N110" s="88">
        <f t="shared" si="27"/>
        <v>0.02</v>
      </c>
      <c r="O110" s="91" t="str">
        <f t="shared" si="19"/>
        <v>0.351478922718916-0.0787530980224079i</v>
      </c>
      <c r="P110" s="81">
        <f t="shared" si="20"/>
        <v>-8.8692783513901556</v>
      </c>
      <c r="Q110" s="88">
        <f t="shared" si="28"/>
        <v>-12.629223736868788</v>
      </c>
      <c r="R110" s="91" t="str">
        <f t="shared" si="29"/>
        <v>1.32529275397648-2.61077612789907i</v>
      </c>
      <c r="S110" s="81">
        <f t="shared" si="30"/>
        <v>9.3311017243465102</v>
      </c>
      <c r="T110" s="88">
        <f t="shared" si="31"/>
        <v>-63.086554848843718</v>
      </c>
      <c r="U110" s="44" t="str">
        <f>IMPRODUCT(COMPLEX(-1,0),IMDIV(COMPLEX(1,C110*Calculations!$B$204*Calculations!$B$206),IMPRODUCT(COMPLEX(0,C110*Calculations!$B$193),COMPLEX((Calculations!$B$206+Calculations!$B$208),C110*Calculations!$B$204*Calculations!$B$206*Calculations!$B$208))))</f>
        <v>-0.916164425088582+0.251748715549102i</v>
      </c>
      <c r="V110" s="44">
        <f t="shared" si="32"/>
        <v>-0.44439878114637837</v>
      </c>
      <c r="W110" s="44">
        <f t="shared" si="33"/>
        <v>164.63517431575622</v>
      </c>
      <c r="X110" s="44">
        <f>Calculations!$B$216/(Calculations!$B$216+Calculations!$B$218)</f>
        <v>0.80079681274900394</v>
      </c>
      <c r="Y110" s="44" t="str">
        <f t="shared" si="34"/>
        <v>-0.445984995953989+2.18260451281731i</v>
      </c>
      <c r="Z110" s="44">
        <f t="shared" si="35"/>
        <v>6.9571496619891713</v>
      </c>
      <c r="AA110" s="44">
        <f t="shared" si="36"/>
        <v>101.54861946691247</v>
      </c>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row>
    <row r="111" spans="2:70">
      <c r="B111" s="81">
        <v>3593.813663804628</v>
      </c>
      <c r="C111" s="84">
        <f t="shared" ref="C111:C137" si="37">2*PI()*B111</f>
        <v>22580.597209158477</v>
      </c>
      <c r="D111" s="87" t="str">
        <f t="shared" ref="D111:D137" si="38">IMDIV(COMPLEX((V12_Nom/(I_Channel_Design*np)),((Zo_Buck_Cout*Zo_Buck_Resr*V12_Nom)/(I_Channel_Design*np))*C111),COMPLEX(1,((Zo_Buck_Cout*Zo_Buck_Resr)+((Zo_Buck_Cout*V12_Nom)/(I_Channel_Design*np)))*C111))</f>
        <v>0.0204254129482345-0.0485749751473476i</v>
      </c>
      <c r="E111" s="81">
        <f t="shared" si="15"/>
        <v>-25.564670193607459</v>
      </c>
      <c r="F111" s="88">
        <f t="shared" si="22"/>
        <v>-67.19361139137672</v>
      </c>
      <c r="G111" s="6" t="str">
        <f t="shared" ref="G111:G137" si="39">IMDIV(COMPLEX(V48_Max,0),IMSUM(COMPLEX(Rcs/np,(Lm*C111)/np),D111))</f>
        <v>3289.38437934532-705.718703835445i</v>
      </c>
      <c r="H111" s="81">
        <f t="shared" si="23"/>
        <v>70.537730848964657</v>
      </c>
      <c r="I111" s="88">
        <f t="shared" si="24"/>
        <v>-12.1089223219908</v>
      </c>
      <c r="J111" s="28" t="str">
        <f t="shared" ref="J111:J137" si="40">IMDIV(IMPRODUCT(COMPLEX(V48_Max,0),D111),IMSUM(COMPLEX(Rcs/np,(Lm*C111)/np),D111))</f>
        <v>32.9067657937749-174.196360427904i</v>
      </c>
      <c r="K111" s="81">
        <f t="shared" si="25"/>
        <v>44.973060655357187</v>
      </c>
      <c r="L111" s="88">
        <f t="shared" si="26"/>
        <v>-79.302533713367566</v>
      </c>
      <c r="M111" s="28">
        <f t="shared" ref="M111:M137" si="41">1/(Kff*V48_Max)</f>
        <v>0.44444444444444442</v>
      </c>
      <c r="N111" s="88">
        <f t="shared" ref="N111:N137" si="42">(Rcs*Acs)/np</f>
        <v>0.02</v>
      </c>
      <c r="O111" s="91" t="str">
        <f t="shared" ref="O111:O137" si="43">IMPRODUCT(COMPLEX(gm/(IL_Comp_Ccomp+IL_Comp_Chf),0),IMDIV(COMPLEX(1,C111*IL_Comp_Rcomp*IL_Comp_Ccomp),IMPRODUCT(COMPLEX(0,C111),COMPLEX(1,C111*IL_Comp_Rcomp*IL_Comp_Chf))))</f>
        <v>0.350554790059133-0.0723439864316382i</v>
      </c>
      <c r="P111" s="81">
        <f t="shared" si="20"/>
        <v>-8.9237522889340557</v>
      </c>
      <c r="Q111" s="88">
        <f t="shared" si="28"/>
        <v>-11.660434502997969</v>
      </c>
      <c r="R111" s="91" t="str">
        <f t="shared" si="29"/>
        <v>0.862179091220533-2.26735834997721i</v>
      </c>
      <c r="S111" s="81">
        <f t="shared" si="30"/>
        <v>7.6969234654907517</v>
      </c>
      <c r="T111" s="88">
        <f t="shared" si="31"/>
        <v>-69.180338494513734</v>
      </c>
      <c r="U111" s="44" t="str">
        <f>IMPRODUCT(COMPLEX(-1,0),IMDIV(COMPLEX(1,C111*Calculations!$B$204*Calculations!$B$206),IMPRODUCT(COMPLEX(0,C111*Calculations!$B$193),COMPLEX((Calculations!$B$206+Calculations!$B$208),C111*Calculations!$B$204*Calculations!$B$206*Calculations!$B$208))))</f>
        <v>-0.915021687460035+0.21536513968578i</v>
      </c>
      <c r="V111" s="44">
        <f t="shared" si="32"/>
        <v>-0.53721275255456546</v>
      </c>
      <c r="W111" s="44">
        <f t="shared" si="33"/>
        <v>166.75556903284073</v>
      </c>
      <c r="X111" s="44">
        <f>Calculations!$B$216/(Calculations!$B$216+Calculations!$B$218)</f>
        <v>0.80079681274900394</v>
      </c>
      <c r="Y111" s="44" t="str">
        <f t="shared" si="34"/>
        <v>-0.240721619343995+1.81009339506539i</v>
      </c>
      <c r="Z111" s="44">
        <f t="shared" si="35"/>
        <v>5.2301574317252388</v>
      </c>
      <c r="AA111" s="44">
        <f t="shared" si="36"/>
        <v>97.575230538326934</v>
      </c>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row>
    <row r="112" spans="2:70">
      <c r="B112" s="81">
        <v>4641.5888336127782</v>
      </c>
      <c r="C112" s="84">
        <f t="shared" si="37"/>
        <v>29163.962761324641</v>
      </c>
      <c r="D112" s="87" t="str">
        <f t="shared" si="38"/>
        <v>0.0162140421673482-0.038336701101587i</v>
      </c>
      <c r="E112" s="81">
        <f t="shared" si="15"/>
        <v>-27.613022376915957</v>
      </c>
      <c r="F112" s="88">
        <f t="shared" si="22"/>
        <v>-67.074658169850437</v>
      </c>
      <c r="G112" s="6" t="str">
        <f t="shared" si="39"/>
        <v>1010.15323179673-1825.1255192162i</v>
      </c>
      <c r="H112" s="81">
        <f t="shared" si="23"/>
        <v>66.386382605508189</v>
      </c>
      <c r="I112" s="88">
        <f t="shared" si="24"/>
        <v>-61.036763546624051</v>
      </c>
      <c r="J112" s="28" t="str">
        <f t="shared" si="40"/>
        <v>-53.5906244072348-68.318604643468i</v>
      </c>
      <c r="K112" s="81">
        <f t="shared" si="25"/>
        <v>38.77336022859221</v>
      </c>
      <c r="L112" s="88">
        <f t="shared" si="26"/>
        <v>-128.11142171647441</v>
      </c>
      <c r="M112" s="28">
        <f t="shared" si="41"/>
        <v>0.44444444444444442</v>
      </c>
      <c r="N112" s="88">
        <f t="shared" si="42"/>
        <v>0.02</v>
      </c>
      <c r="O112" s="91" t="str">
        <f t="shared" si="43"/>
        <v>0.349024010834476-0.070593522775367i</v>
      </c>
      <c r="P112" s="81">
        <f t="shared" si="20"/>
        <v>-8.968766172621919</v>
      </c>
      <c r="Q112" s="88">
        <f t="shared" si="28"/>
        <v>-11.434374708731188</v>
      </c>
      <c r="R112" s="91" t="str">
        <f t="shared" si="29"/>
        <v>0.512361345522937-1.90397955884114i</v>
      </c>
      <c r="S112" s="81">
        <f t="shared" si="30"/>
        <v>5.8968741698189202</v>
      </c>
      <c r="T112" s="88">
        <f t="shared" si="31"/>
        <v>-74.938485681741625</v>
      </c>
      <c r="U112" s="44" t="str">
        <f>IMPRODUCT(COMPLEX(-1,0),IMDIV(COMPLEX(1,C112*Calculations!$B$204*Calculations!$B$206),IMPRODUCT(COMPLEX(0,C112*Calculations!$B$193),COMPLEX((Calculations!$B$206+Calculations!$B$208),C112*Calculations!$B$204*Calculations!$B$206*Calculations!$B$208))))</f>
        <v>-0.913121816757001+0.193067769364691i</v>
      </c>
      <c r="V112" s="44">
        <f t="shared" si="32"/>
        <v>-0.59948630560353178</v>
      </c>
      <c r="W112" s="44">
        <f t="shared" si="33"/>
        <v>168.06138533890177</v>
      </c>
      <c r="X112" s="44">
        <f>Calculations!$B$216/(Calculations!$B$216+Calculations!$B$218)</f>
        <v>0.80079681274900394</v>
      </c>
      <c r="Y112" s="44" t="str">
        <f t="shared" si="34"/>
        <v>-0.0802808705180324+1.47145272080131i</v>
      </c>
      <c r="Z112" s="44">
        <f t="shared" si="35"/>
        <v>3.3678345830043726</v>
      </c>
      <c r="AA112" s="44">
        <f t="shared" si="36"/>
        <v>93.122899657160161</v>
      </c>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row>
    <row r="113" spans="2:70">
      <c r="B113" s="81">
        <v>5994.8425031894185</v>
      </c>
      <c r="C113" s="84">
        <f t="shared" si="37"/>
        <v>37666.706334895447</v>
      </c>
      <c r="D113" s="87" t="str">
        <f t="shared" si="38"/>
        <v>0.0136104343301323-0.0300306462114892i</v>
      </c>
      <c r="E113" s="81">
        <f t="shared" si="15"/>
        <v>-29.637370422802466</v>
      </c>
      <c r="F113" s="88">
        <f t="shared" si="22"/>
        <v>-65.619102942123106</v>
      </c>
      <c r="G113" s="6" t="str">
        <f t="shared" si="39"/>
        <v>280.670468215067-1163.34653670668i</v>
      </c>
      <c r="H113" s="81">
        <f t="shared" si="23"/>
        <v>61.559888336822262</v>
      </c>
      <c r="I113" s="88">
        <f t="shared" si="24"/>
        <v>-76.435956396190647</v>
      </c>
      <c r="J113" s="28" t="str">
        <f t="shared" si="40"/>
        <v>-31.1160012891509-24.2623671740129i</v>
      </c>
      <c r="K113" s="81">
        <f t="shared" si="25"/>
        <v>31.922517914019814</v>
      </c>
      <c r="L113" s="88">
        <f t="shared" si="26"/>
        <v>-142.05505933831367</v>
      </c>
      <c r="M113" s="28">
        <f t="shared" si="41"/>
        <v>0.44444444444444442</v>
      </c>
      <c r="N113" s="88">
        <f t="shared" si="42"/>
        <v>0.02</v>
      </c>
      <c r="O113" s="91" t="str">
        <f t="shared" si="43"/>
        <v>0.346500052503742-0.0732712433412314i</v>
      </c>
      <c r="P113" s="81">
        <f t="shared" si="20"/>
        <v>-9.0159524865071088</v>
      </c>
      <c r="Q113" s="88">
        <f t="shared" si="28"/>
        <v>-11.939928325308541</v>
      </c>
      <c r="R113" s="91" t="str">
        <f t="shared" si="29"/>
        <v>0.264619227525333-1.56000694906826i</v>
      </c>
      <c r="S113" s="81">
        <f t="shared" si="30"/>
        <v>3.9857275177092961</v>
      </c>
      <c r="T113" s="88">
        <f t="shared" si="31"/>
        <v>-80.372729548548506</v>
      </c>
      <c r="U113" s="44" t="str">
        <f>IMPRODUCT(COMPLEX(-1,0),IMDIV(COMPLEX(1,C113*Calculations!$B$204*Calculations!$B$206),IMPRODUCT(COMPLEX(0,C113*Calculations!$B$193),COMPLEX((Calculations!$B$206+Calculations!$B$208),C113*Calculations!$B$204*Calculations!$B$206*Calculations!$B$208))))</f>
        <v>-0.909970137447571+0.183289178931368i</v>
      </c>
      <c r="V113" s="44">
        <f t="shared" si="32"/>
        <v>-0.64673858550872687</v>
      </c>
      <c r="W113" s="44">
        <f t="shared" si="33"/>
        <v>168.61167699955939</v>
      </c>
      <c r="X113" s="44">
        <f>Calculations!$B$216/(Calculations!$B$216+Calculations!$B$218)</f>
        <v>0.80079681274900394</v>
      </c>
      <c r="Y113" s="44" t="str">
        <f t="shared" si="34"/>
        <v>0.0361454039596412+1.17561903322662i</v>
      </c>
      <c r="Z113" s="44">
        <f t="shared" si="35"/>
        <v>1.4094356509895813</v>
      </c>
      <c r="AA113" s="44">
        <f t="shared" si="36"/>
        <v>88.238947451010915</v>
      </c>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row>
    <row r="114" spans="2:70">
      <c r="B114" s="81">
        <v>7742.6368268112792</v>
      </c>
      <c r="C114" s="84">
        <f t="shared" si="37"/>
        <v>48648.421949048206</v>
      </c>
      <c r="D114" s="87" t="str">
        <f t="shared" si="38"/>
        <v>0.0120201420976597-0.0234161831551684i</v>
      </c>
      <c r="E114" s="81">
        <f t="shared" si="15"/>
        <v>-31.593912122804038</v>
      </c>
      <c r="F114" s="88">
        <f t="shared" si="22"/>
        <v>-62.827378878279873</v>
      </c>
      <c r="G114" s="6" t="str">
        <f t="shared" si="39"/>
        <v>107.048554830572-777.269780894014i</v>
      </c>
      <c r="H114" s="81">
        <f t="shared" si="23"/>
        <v>57.893040471309966</v>
      </c>
      <c r="I114" s="88">
        <f t="shared" si="24"/>
        <v>-82.158338502325805</v>
      </c>
      <c r="J114" s="28" t="str">
        <f t="shared" si="40"/>
        <v>-16.9139527099792-11.8495617809716i</v>
      </c>
      <c r="K114" s="81">
        <f t="shared" si="25"/>
        <v>26.299128348505896</v>
      </c>
      <c r="L114" s="88">
        <f t="shared" si="26"/>
        <v>-144.98571738060565</v>
      </c>
      <c r="M114" s="28">
        <f t="shared" si="41"/>
        <v>0.44444444444444442</v>
      </c>
      <c r="N114" s="88">
        <f t="shared" si="42"/>
        <v>0.02</v>
      </c>
      <c r="O114" s="91" t="str">
        <f t="shared" si="43"/>
        <v>0.342370101216694-0.0803128845713697i</v>
      </c>
      <c r="P114" s="81">
        <f t="shared" si="20"/>
        <v>-9.0774460951931957</v>
      </c>
      <c r="Q114" s="88">
        <f t="shared" si="28"/>
        <v>-13.201697630891994</v>
      </c>
      <c r="R114" s="91" t="str">
        <f t="shared" si="29"/>
        <v>0.0943329387772236-1.25697872948659i</v>
      </c>
      <c r="S114" s="81">
        <f t="shared" si="30"/>
        <v>2.0109498784437401</v>
      </c>
      <c r="T114" s="88">
        <f t="shared" si="31"/>
        <v>-85.708148169763433</v>
      </c>
      <c r="U114" s="44" t="str">
        <f>IMPRODUCT(COMPLEX(-1,0),IMDIV(COMPLEX(1,C114*Calculations!$B$204*Calculations!$B$206),IMPRODUCT(COMPLEX(0,C114*Calculations!$B$193),COMPLEX((Calculations!$B$206+Calculations!$B$208),C114*Calculations!$B$204*Calculations!$B$206*Calculations!$B$208))))</f>
        <v>-0.904760957321426+0.185173703220444i</v>
      </c>
      <c r="V114" s="44">
        <f t="shared" si="32"/>
        <v>-0.6911120896363554</v>
      </c>
      <c r="W114" s="44">
        <f t="shared" si="33"/>
        <v>168.43324623509821</v>
      </c>
      <c r="X114" s="44">
        <f>Calculations!$B$216/(Calculations!$B$216+Calculations!$B$218)</f>
        <v>0.80079681274900394</v>
      </c>
      <c r="Y114" s="44" t="str">
        <f t="shared" si="34"/>
        <v>0.118045975652911+0.924706712767458i</v>
      </c>
      <c r="Z114" s="44">
        <f t="shared" si="35"/>
        <v>-0.60971549240362388</v>
      </c>
      <c r="AA114" s="44">
        <f t="shared" si="36"/>
        <v>82.725098065334763</v>
      </c>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row>
    <row r="115" spans="2:70">
      <c r="B115" s="81">
        <v>10000</v>
      </c>
      <c r="C115" s="84">
        <f t="shared" si="37"/>
        <v>62831.853071795864</v>
      </c>
      <c r="D115" s="87" t="str">
        <f t="shared" si="38"/>
        <v>0.0110559499116787-0.0182075431331619i</v>
      </c>
      <c r="E115" s="81">
        <f t="shared" si="15"/>
        <v>-33.431846489093964</v>
      </c>
      <c r="F115" s="88">
        <f t="shared" si="22"/>
        <v>-58.733118077831413</v>
      </c>
      <c r="G115" s="6" t="str">
        <f t="shared" si="39"/>
        <v>49.2611710533829-551.81323968636i</v>
      </c>
      <c r="H115" s="81">
        <f t="shared" si="23"/>
        <v>54.870315774915532</v>
      </c>
      <c r="I115" s="88">
        <f t="shared" si="24"/>
        <v>-84.898645257408077</v>
      </c>
      <c r="J115" s="28" t="str">
        <f t="shared" si="40"/>
        <v>-9.5025343232824-6.99774443531809i</v>
      </c>
      <c r="K115" s="81">
        <f t="shared" si="25"/>
        <v>21.43846928582159</v>
      </c>
      <c r="L115" s="88">
        <f t="shared" si="26"/>
        <v>-143.63176333523955</v>
      </c>
      <c r="M115" s="28">
        <f t="shared" si="41"/>
        <v>0.44444444444444442</v>
      </c>
      <c r="N115" s="88">
        <f t="shared" si="42"/>
        <v>0.02</v>
      </c>
      <c r="O115" s="91" t="str">
        <f t="shared" si="43"/>
        <v>0.335695740456559-0.0916905027459127i</v>
      </c>
      <c r="P115" s="81">
        <f t="shared" si="20"/>
        <v>-9.1686023764271418</v>
      </c>
      <c r="Q115" s="88">
        <f t="shared" si="28"/>
        <v>-15.276899379354139</v>
      </c>
      <c r="R115" s="91" t="str">
        <f t="shared" si="29"/>
        <v>-0.0238655540253087-0.99973220070996i</v>
      </c>
      <c r="S115" s="81">
        <f t="shared" si="30"/>
        <v>1.4782179449257212E-4</v>
      </c>
      <c r="T115" s="88">
        <f t="shared" si="31"/>
        <v>-91.367502080427883</v>
      </c>
      <c r="U115" s="44" t="str">
        <f>IMPRODUCT(COMPLEX(-1,0),IMDIV(COMPLEX(1,C115*Calculations!$B$204*Calculations!$B$206),IMPRODUCT(COMPLEX(0,C115*Calculations!$B$193),COMPLEX((Calculations!$B$206+Calculations!$B$208),C115*Calculations!$B$204*Calculations!$B$206*Calculations!$B$208))))</f>
        <v>-0.896202985673752+0.198399830410107i</v>
      </c>
      <c r="V115" s="44">
        <f t="shared" si="32"/>
        <v>-0.74408294195355607</v>
      </c>
      <c r="W115" s="44">
        <f t="shared" si="33"/>
        <v>167.51728209513857</v>
      </c>
      <c r="X115" s="44">
        <f>Calculations!$B$216/(Calculations!$B$216+Calculations!$B$218)</f>
        <v>0.80079681274900394</v>
      </c>
      <c r="Y115" s="44" t="str">
        <f t="shared" si="34"/>
        <v>0.175963151591922+0.713692590904851i</v>
      </c>
      <c r="Z115" s="44">
        <f t="shared" si="35"/>
        <v>-2.6734884013700517</v>
      </c>
      <c r="AA115" s="44">
        <f t="shared" si="36"/>
        <v>76.149780014710686</v>
      </c>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row>
    <row r="116" spans="2:70">
      <c r="B116" s="81">
        <v>12915.496650148847</v>
      </c>
      <c r="C116" s="84">
        <f t="shared" si="37"/>
        <v>81150.458787142401</v>
      </c>
      <c r="D116" s="87" t="str">
        <f t="shared" si="38"/>
        <v>0.0104739828946988-0.0141335373362346i</v>
      </c>
      <c r="E116" s="81">
        <f t="shared" si="15"/>
        <v>-35.093938013059891</v>
      </c>
      <c r="F116" s="88">
        <f t="shared" si="22"/>
        <v>-53.458854333327302</v>
      </c>
      <c r="G116" s="6" t="str">
        <f t="shared" si="39"/>
        <v>25.2457576734952-406.201149168128i</v>
      </c>
      <c r="H116" s="81">
        <f t="shared" si="23"/>
        <v>52.191566267471003</v>
      </c>
      <c r="I116" s="88">
        <f t="shared" si="24"/>
        <v>-86.443591495964526</v>
      </c>
      <c r="J116" s="28" t="str">
        <f t="shared" si="40"/>
        <v>-5.47663547375324-4.61135574685385i</v>
      </c>
      <c r="K116" s="81">
        <f t="shared" si="25"/>
        <v>17.097628254411124</v>
      </c>
      <c r="L116" s="88">
        <f t="shared" si="26"/>
        <v>-139.90244582929179</v>
      </c>
      <c r="M116" s="28">
        <f t="shared" si="41"/>
        <v>0.44444444444444442</v>
      </c>
      <c r="N116" s="88">
        <f t="shared" si="42"/>
        <v>0.02</v>
      </c>
      <c r="O116" s="91" t="str">
        <f t="shared" si="43"/>
        <v>0.325123089812645-0.107182777863433i</v>
      </c>
      <c r="P116" s="81">
        <f t="shared" si="20"/>
        <v>-9.3109769300876284</v>
      </c>
      <c r="Q116" s="88">
        <f t="shared" si="28"/>
        <v>-18.245749882897798</v>
      </c>
      <c r="R116" s="91" t="str">
        <f t="shared" si="29"/>
        <v>-0.109052403679713-0.781519095209478i</v>
      </c>
      <c r="S116" s="81">
        <f t="shared" si="30"/>
        <v>-2.0574587803429378</v>
      </c>
      <c r="T116" s="88">
        <f t="shared" si="31"/>
        <v>-97.943703917778876</v>
      </c>
      <c r="U116" s="44" t="str">
        <f>IMPRODUCT(COMPLEX(-1,0),IMDIV(COMPLEX(1,C116*Calculations!$B$204*Calculations!$B$206),IMPRODUCT(COMPLEX(0,C116*Calculations!$B$193),COMPLEX((Calculations!$B$206+Calculations!$B$208),C116*Calculations!$B$204*Calculations!$B$206*Calculations!$B$208))))</f>
        <v>-0.882282105820867+0.222917586970293i</v>
      </c>
      <c r="V116" s="44">
        <f t="shared" si="32"/>
        <v>-0.81909891606456731</v>
      </c>
      <c r="W116" s="44">
        <f t="shared" si="33"/>
        <v>165.82039327825007</v>
      </c>
      <c r="X116" s="44">
        <f>Calculations!$B$216/(Calculations!$B$216+Calculations!$B$218)</f>
        <v>0.80079681274900394</v>
      </c>
      <c r="Y116" s="44" t="str">
        <f t="shared" si="34"/>
        <v>0.216558949732957+0.532698539801546i</v>
      </c>
      <c r="Z116" s="44">
        <f t="shared" si="35"/>
        <v>-4.8061109776184914</v>
      </c>
      <c r="AA116" s="44">
        <f t="shared" si="36"/>
        <v>67.87668936047119</v>
      </c>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row>
    <row r="117" spans="2:70">
      <c r="B117" s="81">
        <v>16681.005372000593</v>
      </c>
      <c r="C117" s="84">
        <f t="shared" si="37"/>
        <v>104809.84786233788</v>
      </c>
      <c r="D117" s="87" t="str">
        <f t="shared" si="38"/>
        <v>0.0101236717487791-0.0109599085743029i</v>
      </c>
      <c r="E117" s="81">
        <f t="shared" si="15"/>
        <v>-36.524585969225406</v>
      </c>
      <c r="F117" s="88">
        <f t="shared" si="22"/>
        <v>-47.27132863828686</v>
      </c>
      <c r="G117" s="6" t="str">
        <f t="shared" si="39"/>
        <v>13.7822344410492-305.313991288129i</v>
      </c>
      <c r="H117" s="81">
        <f t="shared" si="23"/>
        <v>49.703774862280653</v>
      </c>
      <c r="I117" s="88">
        <f t="shared" si="24"/>
        <v>-87.415355436895666</v>
      </c>
      <c r="J117" s="28" t="str">
        <f t="shared" si="40"/>
        <v>-3.2066866135275-3.24195065753412i</v>
      </c>
      <c r="K117" s="81">
        <f t="shared" si="25"/>
        <v>13.179188893055219</v>
      </c>
      <c r="L117" s="88">
        <f t="shared" si="26"/>
        <v>-134.68668407518254</v>
      </c>
      <c r="M117" s="28">
        <f t="shared" si="41"/>
        <v>0.44444444444444442</v>
      </c>
      <c r="N117" s="88">
        <f t="shared" si="42"/>
        <v>0.02</v>
      </c>
      <c r="O117" s="91" t="str">
        <f t="shared" si="43"/>
        <v>0.30889486688978-0.125997428369881i</v>
      </c>
      <c r="P117" s="81">
        <f t="shared" si="20"/>
        <v>-9.5353843041664561</v>
      </c>
      <c r="Q117" s="88">
        <f t="shared" si="28"/>
        <v>-22.190422149697021</v>
      </c>
      <c r="R117" s="91" t="str">
        <f t="shared" si="29"/>
        <v>-0.169822546022972-0.589872649327986i</v>
      </c>
      <c r="S117" s="81">
        <f t="shared" si="30"/>
        <v>-4.2390127786379939</v>
      </c>
      <c r="T117" s="88">
        <f t="shared" si="31"/>
        <v>-106.06094911808023</v>
      </c>
      <c r="U117" s="44" t="str">
        <f>IMPRODUCT(COMPLEX(-1,0),IMDIV(COMPLEX(1,C117*Calculations!$B$204*Calculations!$B$206),IMPRODUCT(COMPLEX(0,C117*Calculations!$B$193),COMPLEX((Calculations!$B$206+Calculations!$B$208),C117*Calculations!$B$204*Calculations!$B$206*Calculations!$B$208))))</f>
        <v>-0.859998762710029+0.258490357764153i</v>
      </c>
      <c r="V117" s="44">
        <f t="shared" si="32"/>
        <v>-0.93441328841192872</v>
      </c>
      <c r="W117" s="44">
        <f t="shared" si="33"/>
        <v>163.27076609177678</v>
      </c>
      <c r="X117" s="44">
        <f>Calculations!$B$216/(Calculations!$B$216+Calculations!$B$218)</f>
        <v>0.80079681274900394</v>
      </c>
      <c r="Y117" s="44" t="str">
        <f t="shared" si="34"/>
        <v>0.239056724683828+0.371083043179411i</v>
      </c>
      <c r="Z117" s="44">
        <f t="shared" si="35"/>
        <v>-7.1029793482608969</v>
      </c>
      <c r="AA117" s="44">
        <f t="shared" si="36"/>
        <v>57.209816973696491</v>
      </c>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row>
    <row r="118" spans="2:70">
      <c r="B118" s="81">
        <v>21544.346900318837</v>
      </c>
      <c r="C118" s="84">
        <f t="shared" si="37"/>
        <v>135367.12389686337</v>
      </c>
      <c r="D118" s="87" t="str">
        <f t="shared" si="38"/>
        <v>0.00991314884275275-0.00849368736083225i</v>
      </c>
      <c r="E118" s="81">
        <f t="shared" si="15"/>
        <v>-37.684966537569807</v>
      </c>
      <c r="F118" s="88">
        <f t="shared" si="22"/>
        <v>-40.590306456391524</v>
      </c>
      <c r="G118" s="6" t="str">
        <f t="shared" si="39"/>
        <v>7.81210825257205-232.281090172152i</v>
      </c>
      <c r="H118" s="81">
        <f t="shared" si="23"/>
        <v>47.32518672993745</v>
      </c>
      <c r="I118" s="88">
        <f t="shared" si="24"/>
        <v>-88.073746844302917</v>
      </c>
      <c r="J118" s="28" t="str">
        <f t="shared" si="40"/>
        <v>-1.8954803678721-2.36899062535974i</v>
      </c>
      <c r="K118" s="81">
        <f t="shared" si="25"/>
        <v>9.64022019236765</v>
      </c>
      <c r="L118" s="88">
        <f t="shared" si="26"/>
        <v>-128.66405330069443</v>
      </c>
      <c r="M118" s="28">
        <f t="shared" si="41"/>
        <v>0.44444444444444442</v>
      </c>
      <c r="N118" s="88">
        <f t="shared" si="42"/>
        <v>0.02</v>
      </c>
      <c r="O118" s="91" t="str">
        <f t="shared" si="43"/>
        <v>0.285152573422157-0.146275197753067i</v>
      </c>
      <c r="P118" s="81">
        <f t="shared" si="20"/>
        <v>-9.8839393638319333</v>
      </c>
      <c r="Q118" s="88">
        <f t="shared" si="28"/>
        <v>-27.156539526718106</v>
      </c>
      <c r="R118" s="91" t="str">
        <f t="shared" si="29"/>
        <v>-0.202494049425615-0.41556057008598i</v>
      </c>
      <c r="S118" s="81">
        <f t="shared" si="30"/>
        <v>-6.7020680284125493</v>
      </c>
      <c r="T118" s="88">
        <f t="shared" si="31"/>
        <v>-115.97901406926681</v>
      </c>
      <c r="U118" s="44" t="str">
        <f>IMPRODUCT(COMPLEX(-1,0),IMDIV(COMPLEX(1,C118*Calculations!$B$204*Calculations!$B$206),IMPRODUCT(COMPLEX(0,C118*Calculations!$B$193),COMPLEX((Calculations!$B$206+Calculations!$B$208),C118*Calculations!$B$204*Calculations!$B$206*Calculations!$B$208))))</f>
        <v>-0.825231469544642+0.303901865724062i</v>
      </c>
      <c r="V118" s="44">
        <f t="shared" si="32"/>
        <v>-1.1161642871096331</v>
      </c>
      <c r="W118" s="44">
        <f t="shared" si="33"/>
        <v>159.78313591017078</v>
      </c>
      <c r="X118" s="44">
        <f>Calculations!$B$216/(Calculations!$B$216+Calculations!$B$218)</f>
        <v>0.80079681274900394</v>
      </c>
      <c r="Y118" s="44" t="str">
        <f t="shared" si="34"/>
        <v>0.234949055796646+0.225340491809554i</v>
      </c>
      <c r="Z118" s="44">
        <f t="shared" si="35"/>
        <v>-9.7477855967331468</v>
      </c>
      <c r="AA118" s="44">
        <f t="shared" si="36"/>
        <v>43.804121840903967</v>
      </c>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row>
    <row r="119" spans="2:70">
      <c r="B119" s="81">
        <v>27825.594022071291</v>
      </c>
      <c r="C119" s="84">
        <f t="shared" si="37"/>
        <v>174833.36352302248</v>
      </c>
      <c r="D119" s="87" t="str">
        <f t="shared" si="38"/>
        <v>0.00978675735488688-0.00657999254202953i</v>
      </c>
      <c r="E119" s="81">
        <f t="shared" si="15"/>
        <v>-38.56744931477089</v>
      </c>
      <c r="F119" s="88">
        <f t="shared" si="22"/>
        <v>-33.914374114512803</v>
      </c>
      <c r="G119" s="6" t="str">
        <f t="shared" si="39"/>
        <v>4.52865049021669-177.979859379822i</v>
      </c>
      <c r="H119" s="81">
        <f t="shared" si="23"/>
        <v>45.010228048870417</v>
      </c>
      <c r="I119" s="88">
        <f t="shared" si="24"/>
        <v>-88.542438535142097</v>
      </c>
      <c r="J119" s="28" t="str">
        <f t="shared" si="40"/>
        <v>-1.12678534385785-1.77164418425829i</v>
      </c>
      <c r="K119" s="81">
        <f t="shared" si="25"/>
        <v>6.4427787340995222</v>
      </c>
      <c r="L119" s="88">
        <f t="shared" si="26"/>
        <v>-122.45681264965484</v>
      </c>
      <c r="M119" s="28">
        <f t="shared" si="41"/>
        <v>0.44444444444444442</v>
      </c>
      <c r="N119" s="88">
        <f t="shared" si="42"/>
        <v>0.02</v>
      </c>
      <c r="O119" s="91" t="str">
        <f t="shared" si="43"/>
        <v>0.252746967047445-0.164742069609581i</v>
      </c>
      <c r="P119" s="81">
        <f t="shared" si="20"/>
        <v>-10.408584983476246</v>
      </c>
      <c r="Q119" s="88">
        <f t="shared" si="28"/>
        <v>-33.09656274540918</v>
      </c>
      <c r="R119" s="91" t="str">
        <f t="shared" si="29"/>
        <v>-0.199080891986798-0.263405868409458i</v>
      </c>
      <c r="S119" s="81">
        <f t="shared" si="30"/>
        <v>-9.6251034243728757</v>
      </c>
      <c r="T119" s="88">
        <f t="shared" si="31"/>
        <v>-127.08181325054585</v>
      </c>
      <c r="U119" s="44" t="str">
        <f>IMPRODUCT(COMPLEX(-1,0),IMDIV(COMPLEX(1,C119*Calculations!$B$204*Calculations!$B$206),IMPRODUCT(COMPLEX(0,C119*Calculations!$B$193),COMPLEX((Calculations!$B$206+Calculations!$B$208),C119*Calculations!$B$204*Calculations!$B$206*Calculations!$B$208))))</f>
        <v>-0.773096515923849+0.355772156523011i</v>
      </c>
      <c r="V119" s="44">
        <f t="shared" si="32"/>
        <v>-1.4011026667491431</v>
      </c>
      <c r="W119" s="44">
        <f t="shared" si="33"/>
        <v>155.28853218170164</v>
      </c>
      <c r="X119" s="44">
        <f>Calculations!$B$216/(Calculations!$B$216+Calculations!$B$218)</f>
        <v>0.80079681274900394</v>
      </c>
      <c r="Y119" s="44" t="str">
        <f t="shared" si="34"/>
        <v>0.198294282004772+0.106354401976863i</v>
      </c>
      <c r="Z119" s="44">
        <f t="shared" si="35"/>
        <v>-12.955759372333011</v>
      </c>
      <c r="AA119" s="44">
        <f t="shared" si="36"/>
        <v>28.206718931155812</v>
      </c>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row>
    <row r="120" spans="2:70">
      <c r="B120" s="81">
        <v>35938.136638046322</v>
      </c>
      <c r="C120" s="84">
        <f t="shared" si="37"/>
        <v>225805.97209158502</v>
      </c>
      <c r="D120" s="87" t="str">
        <f t="shared" si="38"/>
        <v>0.00971092056699987-0.00509633977444479i</v>
      </c>
      <c r="E120" s="81">
        <f t="shared" si="15"/>
        <v>-39.198258716648191</v>
      </c>
      <c r="F120" s="88">
        <f t="shared" si="22"/>
        <v>-27.690714006306223</v>
      </c>
      <c r="G120" s="6" t="str">
        <f t="shared" si="39"/>
        <v>2.66078150139285-136.94823839088i</v>
      </c>
      <c r="H120" s="81">
        <f t="shared" si="23"/>
        <v>42.732768112296228</v>
      </c>
      <c r="I120" s="88">
        <f t="shared" si="24"/>
        <v>-88.886934411211129</v>
      </c>
      <c r="J120" s="28" t="str">
        <f t="shared" si="40"/>
        <v>-0.672096116545422-1.34345371140106i</v>
      </c>
      <c r="K120" s="81">
        <f t="shared" si="25"/>
        <v>3.5345093956480862</v>
      </c>
      <c r="L120" s="88">
        <f t="shared" si="26"/>
        <v>-116.57764841751731</v>
      </c>
      <c r="M120" s="28">
        <f t="shared" si="41"/>
        <v>0.44444444444444442</v>
      </c>
      <c r="N120" s="88">
        <f t="shared" si="42"/>
        <v>0.02</v>
      </c>
      <c r="O120" s="91" t="str">
        <f t="shared" si="43"/>
        <v>0.212469537097482-0.177101538809025i</v>
      </c>
      <c r="P120" s="81">
        <f t="shared" si="20"/>
        <v>-11.162916792252268</v>
      </c>
      <c r="Q120" s="88">
        <f t="shared" si="28"/>
        <v>-39.812507808158429</v>
      </c>
      <c r="R120" s="91" t="str">
        <f t="shared" si="29"/>
        <v>-0.164877204491852-0.148582718420513i</v>
      </c>
      <c r="S120" s="81">
        <f t="shared" si="30"/>
        <v>-13.074939834802812</v>
      </c>
      <c r="T120" s="88">
        <f t="shared" si="31"/>
        <v>-137.97570963565101</v>
      </c>
      <c r="U120" s="44" t="str">
        <f>IMPRODUCT(COMPLEX(-1,0),IMDIV(COMPLEX(1,C120*Calculations!$B$204*Calculations!$B$206),IMPRODUCT(COMPLEX(0,C120*Calculations!$B$193),COMPLEX((Calculations!$B$206+Calculations!$B$208),C120*Calculations!$B$204*Calculations!$B$206*Calculations!$B$208))))</f>
        <v>-0.699391693735214+0.407330196296406i</v>
      </c>
      <c r="V120" s="44">
        <f t="shared" si="32"/>
        <v>-1.8371452351256601</v>
      </c>
      <c r="W120" s="44">
        <f t="shared" si="33"/>
        <v>149.78320460235625</v>
      </c>
      <c r="X120" s="44">
        <f>Calculations!$B$216/(Calculations!$B$216+Calculations!$B$218)</f>
        <v>0.80079681274900394</v>
      </c>
      <c r="Y120" s="44" t="str">
        <f t="shared" si="34"/>
        <v>0.14080888848144+0.0294357333072218i</v>
      </c>
      <c r="Z120" s="44">
        <f t="shared" si="35"/>
        <v>-16.84163835113943</v>
      </c>
      <c r="AA120" s="44">
        <f t="shared" si="36"/>
        <v>11.807494966705166</v>
      </c>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row>
    <row r="121" spans="2:70">
      <c r="B121" s="81">
        <v>46415.888336127755</v>
      </c>
      <c r="C121" s="84">
        <f t="shared" si="37"/>
        <v>291639.62761324627</v>
      </c>
      <c r="D121" s="87" t="str">
        <f t="shared" si="38"/>
        <v>0.00966543347306808-0.00394669588690506i</v>
      </c>
      <c r="E121" s="81">
        <f t="shared" si="15"/>
        <v>-39.62585404895421</v>
      </c>
      <c r="F121" s="88">
        <f t="shared" si="22"/>
        <v>-22.211714940220141</v>
      </c>
      <c r="G121" s="6" t="str">
        <f t="shared" si="39"/>
        <v>1.57597491785718-105.64029992645i</v>
      </c>
      <c r="H121" s="81">
        <f t="shared" si="23"/>
        <v>40.477558952080884</v>
      </c>
      <c r="I121" s="88">
        <f t="shared" si="24"/>
        <v>-89.145307106505811</v>
      </c>
      <c r="J121" s="28" t="str">
        <f t="shared" si="40"/>
        <v>-0.401697656487363-1.02727918474023i</v>
      </c>
      <c r="K121" s="81">
        <f t="shared" si="25"/>
        <v>0.85170490312663871</v>
      </c>
      <c r="L121" s="88">
        <f t="shared" si="26"/>
        <v>-111.35702204672592</v>
      </c>
      <c r="M121" s="28">
        <f t="shared" si="41"/>
        <v>0.44444444444444442</v>
      </c>
      <c r="N121" s="88">
        <f t="shared" si="42"/>
        <v>0.02</v>
      </c>
      <c r="O121" s="91" t="str">
        <f t="shared" si="43"/>
        <v>0.167850462179051-0.179621586530411i</v>
      </c>
      <c r="P121" s="81">
        <f t="shared" si="20"/>
        <v>-12.1869212888273</v>
      </c>
      <c r="Q121" s="88">
        <f t="shared" si="28"/>
        <v>-46.940236424713852</v>
      </c>
      <c r="R121" s="91" t="str">
        <f t="shared" si="29"/>
        <v>-0.119633457414085-0.0764369568406497i</v>
      </c>
      <c r="S121" s="81">
        <f t="shared" si="30"/>
        <v>-16.956220995627994</v>
      </c>
      <c r="T121" s="88">
        <f t="shared" si="31"/>
        <v>-147.42442257079855</v>
      </c>
      <c r="U121" s="44" t="str">
        <f>IMPRODUCT(COMPLEX(-1,0),IMDIV(COMPLEX(1,C121*Calculations!$B$204*Calculations!$B$206),IMPRODUCT(COMPLEX(0,C121*Calculations!$B$193),COMPLEX((Calculations!$B$206+Calculations!$B$208),C121*Calculations!$B$204*Calculations!$B$206*Calculations!$B$208))))</f>
        <v>-0.603427444993803+0.448317495460132i</v>
      </c>
      <c r="V121" s="44">
        <f t="shared" si="32"/>
        <v>-2.4786450361107684</v>
      </c>
      <c r="W121" s="44">
        <f t="shared" si="33"/>
        <v>143.38943115502781</v>
      </c>
      <c r="X121" s="44">
        <f>Calculations!$B$216/(Calculations!$B$216+Calculations!$B$218)</f>
        <v>0.80079681274900394</v>
      </c>
      <c r="Y121" s="44" t="str">
        <f t="shared" si="34"/>
        <v>0.0852513364761145-0.00601367530185054i</v>
      </c>
      <c r="Z121" s="44">
        <f t="shared" si="35"/>
        <v>-21.364419312949714</v>
      </c>
      <c r="AA121" s="44">
        <f t="shared" si="36"/>
        <v>-4.0349914157707039</v>
      </c>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row>
    <row r="122" spans="2:70">
      <c r="B122" s="81">
        <v>59948.425031894149</v>
      </c>
      <c r="C122" s="84">
        <f t="shared" si="37"/>
        <v>376667.06334895425</v>
      </c>
      <c r="D122" s="87" t="str">
        <f t="shared" si="38"/>
        <v>0.00963815599771436-0.00305614781195126i</v>
      </c>
      <c r="E122" s="81">
        <f t="shared" si="15"/>
        <v>-39.904042623158468</v>
      </c>
      <c r="F122" s="88">
        <f t="shared" si="22"/>
        <v>-17.59321929884851</v>
      </c>
      <c r="G122" s="6" t="str">
        <f t="shared" si="39"/>
        <v>0.937966189639992-81.6115590224981i</v>
      </c>
      <c r="H122" s="81">
        <f t="shared" si="23"/>
        <v>38.235607108044164</v>
      </c>
      <c r="I122" s="88">
        <f t="shared" si="24"/>
        <v>-89.341525409155082</v>
      </c>
      <c r="J122" s="28" t="str">
        <f t="shared" si="40"/>
        <v>-0.240376723080207-0.789451500393662i</v>
      </c>
      <c r="K122" s="81">
        <f t="shared" si="25"/>
        <v>-1.6684355151143018</v>
      </c>
      <c r="L122" s="88">
        <f t="shared" si="26"/>
        <v>-106.93474470800361</v>
      </c>
      <c r="M122" s="28">
        <f t="shared" si="41"/>
        <v>0.44444444444444442</v>
      </c>
      <c r="N122" s="88">
        <f t="shared" si="42"/>
        <v>0.02</v>
      </c>
      <c r="O122" s="91" t="str">
        <f t="shared" si="43"/>
        <v>0.124305608449217-0.171187161246495i</v>
      </c>
      <c r="P122" s="81">
        <f t="shared" si="20"/>
        <v>-13.491397254359029</v>
      </c>
      <c r="Q122" s="88">
        <f t="shared" si="28"/>
        <v>-54.015149818818713</v>
      </c>
      <c r="R122" s="91" t="str">
        <f t="shared" si="29"/>
        <v>-0.0797570350332227-0.0372151441330362i</v>
      </c>
      <c r="S122" s="81">
        <f t="shared" si="30"/>
        <v>-21.109140082388791</v>
      </c>
      <c r="T122" s="88">
        <f t="shared" si="31"/>
        <v>-154.98594142772575</v>
      </c>
      <c r="U122" s="44" t="str">
        <f>IMPRODUCT(COMPLEX(-1,0),IMDIV(COMPLEX(1,C122*Calculations!$B$204*Calculations!$B$206),IMPRODUCT(COMPLEX(0,C122*Calculations!$B$193),COMPLEX((Calculations!$B$206+Calculations!$B$208),C122*Calculations!$B$204*Calculations!$B$206*Calculations!$B$208))))</f>
        <v>-0.491037832481278+0.467661147001756i</v>
      </c>
      <c r="V122" s="44">
        <f t="shared" si="32"/>
        <v>-3.3740732476495277</v>
      </c>
      <c r="W122" s="44">
        <f t="shared" si="33"/>
        <v>136.39680972704966</v>
      </c>
      <c r="X122" s="44">
        <f>Calculations!$B$216/(Calculations!$B$216+Calculations!$B$218)</f>
        <v>0.80079681274900394</v>
      </c>
      <c r="Y122" s="44" t="str">
        <f t="shared" si="34"/>
        <v>0.0452993128222575-0.0152353377596847i</v>
      </c>
      <c r="Z122" s="44">
        <f t="shared" si="35"/>
        <v>-26.4127666112493</v>
      </c>
      <c r="AA122" s="44">
        <f t="shared" si="36"/>
        <v>-18.589131700675985</v>
      </c>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row>
    <row r="123" spans="2:70">
      <c r="B123" s="81">
        <v>77426.368268112885</v>
      </c>
      <c r="C123" s="84">
        <f t="shared" si="37"/>
        <v>486484.21949048265</v>
      </c>
      <c r="D123" s="87" t="str">
        <f t="shared" si="38"/>
        <v>0.00962180046058299-0.00236643348724227i</v>
      </c>
      <c r="E123" s="81">
        <f t="shared" si="15"/>
        <v>-40.079811676666623</v>
      </c>
      <c r="F123" s="88">
        <f t="shared" si="22"/>
        <v>-13.817366766524827</v>
      </c>
      <c r="G123" s="6" t="str">
        <f t="shared" si="39"/>
        <v>0.559864120324309-63.1046829402529i</v>
      </c>
      <c r="H123" s="81">
        <f t="shared" si="23"/>
        <v>36.001573609972347</v>
      </c>
      <c r="I123" s="88">
        <f t="shared" si="24"/>
        <v>-89.491685749756357</v>
      </c>
      <c r="J123" s="28" t="str">
        <f t="shared" si="40"/>
        <v>-0.14394613406082-0.60850554858211i</v>
      </c>
      <c r="K123" s="81">
        <f t="shared" si="25"/>
        <v>-4.0782380666942677</v>
      </c>
      <c r="L123" s="88">
        <f t="shared" si="26"/>
        <v>-103.30905251628116</v>
      </c>
      <c r="M123" s="28">
        <f t="shared" si="41"/>
        <v>0.44444444444444442</v>
      </c>
      <c r="N123" s="88">
        <f t="shared" si="42"/>
        <v>0.02</v>
      </c>
      <c r="O123" s="91" t="str">
        <f t="shared" si="43"/>
        <v>0.0867601862395568-0.153982074352474i</v>
      </c>
      <c r="P123" s="81">
        <f t="shared" si="20"/>
        <v>-15.053194329429356</v>
      </c>
      <c r="Q123" s="88">
        <f t="shared" si="28"/>
        <v>-60.601201329645946</v>
      </c>
      <c r="R123" s="91" t="str">
        <f t="shared" si="29"/>
        <v>-0.0506782435350513-0.0176334686435506i</v>
      </c>
      <c r="S123" s="81">
        <f t="shared" si="30"/>
        <v>-25.407246089619711</v>
      </c>
      <c r="T123" s="88">
        <f t="shared" si="31"/>
        <v>-160.81468518019398</v>
      </c>
      <c r="U123" s="44" t="str">
        <f>IMPRODUCT(COMPLEX(-1,0),IMDIV(COMPLEX(1,C123*Calculations!$B$204*Calculations!$B$206),IMPRODUCT(COMPLEX(0,C123*Calculations!$B$193),COMPLEX((Calculations!$B$206+Calculations!$B$208),C123*Calculations!$B$204*Calculations!$B$206*Calculations!$B$208))))</f>
        <v>-0.374641515430948+0.458754167207382i</v>
      </c>
      <c r="V123" s="44">
        <f t="shared" si="32"/>
        <v>-4.5492599145395678</v>
      </c>
      <c r="W123" s="44">
        <f t="shared" si="33"/>
        <v>129.23678861060111</v>
      </c>
      <c r="X123" s="44">
        <f>Calculations!$B$216/(Calculations!$B$216+Calculations!$B$218)</f>
        <v>0.80079681274900394</v>
      </c>
      <c r="Y123" s="44" t="str">
        <f t="shared" si="34"/>
        <v>0.0216820551281269-0.0133273618513937i</v>
      </c>
      <c r="Z123" s="44">
        <f t="shared" si="35"/>
        <v>-31.886059285370276</v>
      </c>
      <c r="AA123" s="44">
        <f t="shared" si="36"/>
        <v>-31.577896569592887</v>
      </c>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row>
    <row r="124" spans="2:70">
      <c r="B124" s="81">
        <v>100000</v>
      </c>
      <c r="C124" s="84">
        <f t="shared" si="37"/>
        <v>628318.53071795858</v>
      </c>
      <c r="D124" s="87" t="str">
        <f t="shared" si="38"/>
        <v>0.00961199445203891-0.0018323220641051i</v>
      </c>
      <c r="E124" s="81">
        <f t="shared" si="15"/>
        <v>-40.188710078387651</v>
      </c>
      <c r="F124" s="88">
        <f t="shared" si="22"/>
        <v>-10.792730181871308</v>
      </c>
      <c r="G124" s="6" t="str">
        <f t="shared" si="39"/>
        <v>0.334758785306315-48.8206569470753i</v>
      </c>
      <c r="H124" s="81">
        <f t="shared" si="23"/>
        <v>33.772276570932632</v>
      </c>
      <c r="I124" s="88">
        <f t="shared" si="24"/>
        <v>-89.607134230465618</v>
      </c>
      <c r="J124" s="28" t="str">
        <f t="shared" si="40"/>
        <v>-0.0862374673210962-0.469877269628652i</v>
      </c>
      <c r="K124" s="81">
        <f t="shared" si="25"/>
        <v>-6.4164335074550323</v>
      </c>
      <c r="L124" s="88">
        <f t="shared" si="26"/>
        <v>-100.3998644123369</v>
      </c>
      <c r="M124" s="28">
        <f t="shared" si="41"/>
        <v>0.44444444444444442</v>
      </c>
      <c r="N124" s="88">
        <f t="shared" si="42"/>
        <v>0.02</v>
      </c>
      <c r="O124" s="91" t="str">
        <f t="shared" si="43"/>
        <v>0.0576926163394001-0.13207341526969i</v>
      </c>
      <c r="P124" s="81">
        <f t="shared" si="20"/>
        <v>-16.825253449149933</v>
      </c>
      <c r="Q124" s="88">
        <f t="shared" si="28"/>
        <v>-66.403220363709025</v>
      </c>
      <c r="R124" s="91" t="str">
        <f t="shared" si="29"/>
        <v>-0.0313756574412079-0.00825574286550788i</v>
      </c>
      <c r="S124" s="81">
        <f t="shared" si="30"/>
        <v>-29.777411026611631</v>
      </c>
      <c r="T124" s="88">
        <f t="shared" si="31"/>
        <v>-165.25816055603022</v>
      </c>
      <c r="U124" s="44" t="str">
        <f>IMPRODUCT(COMPLEX(-1,0),IMDIV(COMPLEX(1,C124*Calculations!$B$204*Calculations!$B$206),IMPRODUCT(COMPLEX(0,C124*Calculations!$B$193),COMPLEX((Calculations!$B$206+Calculations!$B$208),C124*Calculations!$B$204*Calculations!$B$206*Calculations!$B$208))))</f>
        <v>-0.268481517594895+0.423456080140803i</v>
      </c>
      <c r="V124" s="44">
        <f t="shared" si="32"/>
        <v>-5.9963925774667732</v>
      </c>
      <c r="W124" s="44">
        <f t="shared" si="33"/>
        <v>122.37569747123875</v>
      </c>
      <c r="X124" s="44">
        <f>Calculations!$B$216/(Calculations!$B$216+Calculations!$B$218)</f>
        <v>0.80079681274900394</v>
      </c>
      <c r="Y124" s="44" t="str">
        <f t="shared" si="34"/>
        <v>0.00954528070200841-0.00886457930771486i</v>
      </c>
      <c r="Z124" s="44">
        <f t="shared" si="35"/>
        <v>-37.703356885289409</v>
      </c>
      <c r="AA124" s="44">
        <f t="shared" si="36"/>
        <v>-42.882463084791461</v>
      </c>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row>
    <row r="125" spans="2:70">
      <c r="B125" s="81">
        <v>129154.96650148838</v>
      </c>
      <c r="C125" s="84">
        <f t="shared" si="37"/>
        <v>811504.58787142346</v>
      </c>
      <c r="D125" s="87" t="str">
        <f t="shared" si="38"/>
        <v>0.00960611550120932-0.00141873689485216i</v>
      </c>
      <c r="E125" s="81">
        <f t="shared" si="15"/>
        <v>-40.255331234259685</v>
      </c>
      <c r="F125" s="88">
        <f t="shared" si="22"/>
        <v>-8.4013377194202175</v>
      </c>
      <c r="G125" s="6" t="str">
        <f t="shared" si="39"/>
        <v>0.200370269369242-37.7819747355976i</v>
      </c>
      <c r="H125" s="81">
        <f t="shared" si="23"/>
        <v>31.545815210489238</v>
      </c>
      <c r="I125" s="88">
        <f t="shared" si="24"/>
        <v>-89.696144438524826</v>
      </c>
      <c r="J125" s="28" t="str">
        <f t="shared" si="40"/>
        <v>-0.0516779015671954-0.363222285867709i</v>
      </c>
      <c r="K125" s="81">
        <f t="shared" si="25"/>
        <v>-8.7095160237704388</v>
      </c>
      <c r="L125" s="88">
        <f t="shared" si="26"/>
        <v>-98.097482157945066</v>
      </c>
      <c r="M125" s="28">
        <f t="shared" si="41"/>
        <v>0.44444444444444442</v>
      </c>
      <c r="N125" s="88">
        <f t="shared" si="42"/>
        <v>0.02</v>
      </c>
      <c r="O125" s="91" t="str">
        <f t="shared" si="43"/>
        <v>0.0370092642950481-0.10933955411117i</v>
      </c>
      <c r="P125" s="81">
        <f t="shared" si="20"/>
        <v>-18.753385271871132</v>
      </c>
      <c r="Q125" s="88">
        <f t="shared" si="28"/>
        <v>-71.300062501344954</v>
      </c>
      <c r="R125" s="91" t="str">
        <f t="shared" si="29"/>
        <v>-0.0191544942915269-0.00384595520866095i</v>
      </c>
      <c r="S125" s="81">
        <f t="shared" si="30"/>
        <v>-34.182937431988691</v>
      </c>
      <c r="T125" s="88">
        <f t="shared" si="31"/>
        <v>-168.64676905224883</v>
      </c>
      <c r="U125" s="44" t="str">
        <f>IMPRODUCT(COMPLEX(-1,0),IMDIV(COMPLEX(1,C125*Calculations!$B$204*Calculations!$B$206),IMPRODUCT(COMPLEX(0,C125*Calculations!$B$193),COMPLEX((Calculations!$B$206+Calculations!$B$208),C125*Calculations!$B$204*Calculations!$B$206*Calculations!$B$208))))</f>
        <v>-0.182308117591115+0.370767288560117i</v>
      </c>
      <c r="V125" s="44">
        <f t="shared" si="32"/>
        <v>-7.6775469430833541</v>
      </c>
      <c r="W125" s="44">
        <f t="shared" si="33"/>
        <v>116.18357477154433</v>
      </c>
      <c r="X125" s="44">
        <f>Calculations!$B$216/(Calculations!$B$216+Calculations!$B$218)</f>
        <v>0.80079681274900394</v>
      </c>
      <c r="Y125" s="44" t="str">
        <f t="shared" si="34"/>
        <v>0.00393829805039729-0.00512566901439669i</v>
      </c>
      <c r="Z125" s="44">
        <f t="shared" si="35"/>
        <v>-43.790037656283019</v>
      </c>
      <c r="AA125" s="44">
        <f t="shared" si="36"/>
        <v>-52.463194280704442</v>
      </c>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row>
    <row r="126" spans="2:70">
      <c r="B126" s="81">
        <v>166810.05372000611</v>
      </c>
      <c r="C126" s="84">
        <f t="shared" si="37"/>
        <v>1048098.4786233798</v>
      </c>
      <c r="D126" s="87" t="str">
        <f t="shared" si="38"/>
        <v>0.00960259101788234-0.00109849337951056i</v>
      </c>
      <c r="E126" s="81">
        <f t="shared" si="15"/>
        <v>-40.295766781089867</v>
      </c>
      <c r="F126" s="88">
        <f t="shared" si="22"/>
        <v>-6.5260118862136816</v>
      </c>
      <c r="G126" s="6" t="str">
        <f t="shared" si="39"/>
        <v>0.120006707362101-29.2448208899011i</v>
      </c>
      <c r="H126" s="81">
        <f t="shared" si="23"/>
        <v>29.321052447056406</v>
      </c>
      <c r="I126" s="88">
        <f t="shared" si="24"/>
        <v>-89.76488694263621</v>
      </c>
      <c r="J126" s="28" t="str">
        <f t="shared" si="40"/>
        <v>-0.0309728668023275-0.280957880970477i</v>
      </c>
      <c r="K126" s="81">
        <f t="shared" si="25"/>
        <v>-10.974714334033431</v>
      </c>
      <c r="L126" s="88">
        <f t="shared" si="26"/>
        <v>-96.290898828849876</v>
      </c>
      <c r="M126" s="28">
        <f t="shared" si="41"/>
        <v>0.44444444444444442</v>
      </c>
      <c r="N126" s="88">
        <f t="shared" si="42"/>
        <v>0.02</v>
      </c>
      <c r="O126" s="91" t="str">
        <f t="shared" si="43"/>
        <v>0.0231593062577093-0.0883283033523262i</v>
      </c>
      <c r="P126" s="81">
        <f t="shared" si="20"/>
        <v>-20.789254712346441</v>
      </c>
      <c r="Q126" s="88">
        <f t="shared" si="28"/>
        <v>-75.308005490923932</v>
      </c>
      <c r="R126" s="91" t="str">
        <f t="shared" si="29"/>
        <v>-0.0116035887760923-0.00178796475862183i</v>
      </c>
      <c r="S126" s="81">
        <f t="shared" si="30"/>
        <v>-38.606244505378932</v>
      </c>
      <c r="T126" s="88">
        <f t="shared" si="31"/>
        <v>-171.24034540105876</v>
      </c>
      <c r="U126" s="44" t="str">
        <f>IMPRODUCT(COMPLEX(-1,0),IMDIV(COMPLEX(1,C126*Calculations!$B$204*Calculations!$B$206),IMPRODUCT(COMPLEX(0,C126*Calculations!$B$193),COMPLEX((Calculations!$B$206+Calculations!$B$208),C126*Calculations!$B$204*Calculations!$B$206*Calculations!$B$208))))</f>
        <v>-0.11873630574876+0.3115760344509i</v>
      </c>
      <c r="V126" s="44">
        <f t="shared" si="32"/>
        <v>-9.5398139459738065</v>
      </c>
      <c r="W126" s="44">
        <f t="shared" si="33"/>
        <v>110.86098933463641</v>
      </c>
      <c r="X126" s="44">
        <f>Calculations!$B$216/(Calculations!$B$216+Calculations!$B$218)</f>
        <v>0.80079681274900394</v>
      </c>
      <c r="Y126" s="44" t="str">
        <f t="shared" si="34"/>
        <v>0.00154942510366532-0.00272519471333555i</v>
      </c>
      <c r="Z126" s="44">
        <f t="shared" si="35"/>
        <v>-50.075611732563715</v>
      </c>
      <c r="AA126" s="44">
        <f t="shared" si="36"/>
        <v>-60.379356066422396</v>
      </c>
      <c r="AB126" s="44"/>
      <c r="AC126" s="44"/>
      <c r="AD126" s="44"/>
      <c r="AE126" s="44"/>
      <c r="AF126" s="44"/>
      <c r="AJ126" t="s">
        <v>560</v>
      </c>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row>
    <row r="127" spans="2:70">
      <c r="B127" s="81">
        <v>215443.46900318863</v>
      </c>
      <c r="C127" s="84">
        <f t="shared" si="37"/>
        <v>1353671.2389686354</v>
      </c>
      <c r="D127" s="87" t="str">
        <f t="shared" si="38"/>
        <v>0.00960047809356161-0.000850531386221357i</v>
      </c>
      <c r="E127" s="81">
        <f t="shared" si="15"/>
        <v>-40.32018959592412</v>
      </c>
      <c r="F127" s="88">
        <f t="shared" si="22"/>
        <v>-5.0627648166669017</v>
      </c>
      <c r="G127" s="6" t="str">
        <f t="shared" si="39"/>
        <v>0.0719018695509563-22.6393098680259i</v>
      </c>
      <c r="H127" s="81">
        <f t="shared" si="23"/>
        <v>27.097307481776411</v>
      </c>
      <c r="I127" s="88">
        <f t="shared" si="24"/>
        <v>-89.818030680395793</v>
      </c>
      <c r="J127" s="28" t="str">
        <f t="shared" si="40"/>
        <v>-0.0185651512816368-0.217409353238117i</v>
      </c>
      <c r="K127" s="81">
        <f t="shared" si="25"/>
        <v>-13.222882114147701</v>
      </c>
      <c r="L127" s="88">
        <f t="shared" si="26"/>
        <v>-94.880795497062678</v>
      </c>
      <c r="M127" s="28">
        <f t="shared" si="41"/>
        <v>0.44444444444444442</v>
      </c>
      <c r="N127" s="88">
        <f t="shared" si="42"/>
        <v>0.02</v>
      </c>
      <c r="O127" s="91" t="str">
        <f t="shared" si="43"/>
        <v>0.0142584404430118-0.070215884295274i</v>
      </c>
      <c r="P127" s="81">
        <f t="shared" si="20"/>
        <v>-22.895802129385729</v>
      </c>
      <c r="Q127" s="88">
        <f t="shared" si="28"/>
        <v>-78.521269538607356</v>
      </c>
      <c r="R127" s="91" t="str">
        <f t="shared" si="29"/>
        <v>-0.0069987649845772-0.000830501157243498i</v>
      </c>
      <c r="S127" s="81">
        <f t="shared" si="30"/>
        <v>-43.038844757115967</v>
      </c>
      <c r="T127" s="88">
        <f t="shared" si="31"/>
        <v>-173.23270134979035</v>
      </c>
      <c r="U127" s="44" t="str">
        <f>IMPRODUCT(COMPLEX(-1,0),IMDIV(COMPLEX(1,C127*Calculations!$B$204*Calculations!$B$206),IMPRODUCT(COMPLEX(0,C127*Calculations!$B$193),COMPLEX((Calculations!$B$206+Calculations!$B$208),C127*Calculations!$B$204*Calculations!$B$206*Calculations!$B$208))))</f>
        <v>-0.075069951100422+0.254274128793393i</v>
      </c>
      <c r="V127" s="44">
        <f t="shared" si="32"/>
        <v>-11.53101327652835</v>
      </c>
      <c r="W127" s="44">
        <f t="shared" si="33"/>
        <v>106.44830586188957</v>
      </c>
      <c r="X127" s="44">
        <f>Calculations!$B$216/(Calculations!$B$216+Calculations!$B$218)</f>
        <v>0.80079681274900394</v>
      </c>
      <c r="Y127" s="44" t="str">
        <f t="shared" si="34"/>
        <v>0.000589844432583609-0.00137517568427017i</v>
      </c>
      <c r="Z127" s="44">
        <f t="shared" si="35"/>
        <v>-56.49941131485528</v>
      </c>
      <c r="AA127" s="44">
        <f t="shared" si="36"/>
        <v>-66.784395487900824</v>
      </c>
      <c r="AB127" s="44"/>
      <c r="AC127" s="44"/>
      <c r="AD127" s="44"/>
      <c r="AE127" s="44"/>
      <c r="AF127" t="s">
        <v>561</v>
      </c>
      <c r="AG127">
        <f t="array" ref="AG127">INDEX($Z$79:$Z$133,(MATCH(TRUE,$Z$79:$Z$133&lt;0,)-1))</f>
        <v>1.4094356509895813</v>
      </c>
      <c r="AH127">
        <f t="array" ref="AH127">INDEX($Z$79:$Z$133,(MATCH(TRUE,$Z$79:$Z$133&lt;0,)-0))</f>
        <v>-0.60971549240362388</v>
      </c>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row>
    <row r="128" spans="2:70">
      <c r="B128" s="81">
        <v>278255.94022071268</v>
      </c>
      <c r="C128" s="84">
        <f t="shared" si="37"/>
        <v>1748333.6352302232</v>
      </c>
      <c r="D128" s="87" t="str">
        <f t="shared" si="38"/>
        <v>0.00959921140999365-0.000658539210189345i</v>
      </c>
      <c r="E128" s="81">
        <f t="shared" si="15"/>
        <v>-40.33489702586899</v>
      </c>
      <c r="F128" s="88">
        <f t="shared" si="22"/>
        <v>-3.9245401226590642</v>
      </c>
      <c r="G128" s="6" t="str">
        <f t="shared" si="39"/>
        <v>0.0430895756111278-17.5269889306671i</v>
      </c>
      <c r="H128" s="81">
        <f t="shared" si="23"/>
        <v>24.874172496585842</v>
      </c>
      <c r="I128" s="88">
        <f t="shared" si="24"/>
        <v>-89.859140331557299</v>
      </c>
      <c r="J128" s="28" t="str">
        <f t="shared" si="40"/>
        <v>-0.0111285835015408-0.168273648301183i</v>
      </c>
      <c r="K128" s="81">
        <f t="shared" si="25"/>
        <v>-15.460724529283109</v>
      </c>
      <c r="L128" s="88">
        <f t="shared" si="26"/>
        <v>-93.783680454216352</v>
      </c>
      <c r="M128" s="28">
        <f t="shared" si="41"/>
        <v>0.44444444444444442</v>
      </c>
      <c r="N128" s="88">
        <f t="shared" si="42"/>
        <v>0.02</v>
      </c>
      <c r="O128" s="91" t="str">
        <f t="shared" si="43"/>
        <v>0.0086883188101837-0.0552505981420766i</v>
      </c>
      <c r="P128" s="81">
        <f t="shared" si="20"/>
        <v>-25.047172227215555</v>
      </c>
      <c r="Q128" s="88">
        <f t="shared" si="28"/>
        <v>-81.063254904892617</v>
      </c>
      <c r="R128" s="91" t="str">
        <f t="shared" si="29"/>
        <v>-0.00421077170018202-0.000385619845398821i</v>
      </c>
      <c r="S128" s="81">
        <f t="shared" si="30"/>
        <v>-47.476494647406149</v>
      </c>
      <c r="T128" s="88">
        <f t="shared" si="31"/>
        <v>-174.7674836756334</v>
      </c>
      <c r="U128" s="44" t="str">
        <f>IMPRODUCT(COMPLEX(-1,0),IMDIV(COMPLEX(1,C128*Calculations!$B$204*Calculations!$B$206),IMPRODUCT(COMPLEX(0,C128*Calculations!$B$193),COMPLEX((Calculations!$B$206+Calculations!$B$208),C128*Calculations!$B$204*Calculations!$B$206*Calculations!$B$208))))</f>
        <v>-0.0465273338295617+0.203470770778831i</v>
      </c>
      <c r="V128" s="44">
        <f t="shared" si="32"/>
        <v>-13.608608126711154</v>
      </c>
      <c r="W128" s="44">
        <f t="shared" si="33"/>
        <v>102.88028116497617</v>
      </c>
      <c r="X128" s="44">
        <f>Calculations!$B$216/(Calculations!$B$216+Calculations!$B$218)</f>
        <v>0.80079681274900394</v>
      </c>
      <c r="Y128" s="44" t="str">
        <f t="shared" si="34"/>
        <v>0.000219721306361816-0.000671730068232834i</v>
      </c>
      <c r="Z128" s="44">
        <f t="shared" si="35"/>
        <v>-63.014656055328295</v>
      </c>
      <c r="AA128" s="44">
        <f t="shared" si="36"/>
        <v>-71.887202510657175</v>
      </c>
      <c r="AB128" s="44"/>
      <c r="AC128" s="44"/>
      <c r="AD128" s="44"/>
      <c r="AE128" s="44"/>
      <c r="AF128" t="s">
        <v>562</v>
      </c>
      <c r="AG128">
        <f t="array" ref="AG128">INDEX($B$79:$B$133,(MATCH(TRUE,$Z$79:$Z$133&lt;0,)-1))</f>
        <v>5994.8425031894185</v>
      </c>
      <c r="AH128">
        <f t="array" ref="AH128">INDEX($B$79:$B$133,(MATCH(TRUE,$Z$79:$Z$133&lt;0,)-0))</f>
        <v>7742.6368268112792</v>
      </c>
      <c r="AJ128">
        <f>(AG127*AH128-AG128*AH127)/(AG127-AH127)/1000</f>
        <v>7.2148619348056657</v>
      </c>
      <c r="AK128" s="236" t="str">
        <f>"Crossover Frequency = "&amp;ROUND(AJ128,1)&amp;" kHz"</f>
        <v>Crossover Frequency = 7.2 kHz</v>
      </c>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row>
    <row r="129" spans="1:70">
      <c r="B129" s="81">
        <v>359381.36638046295</v>
      </c>
      <c r="C129" s="84">
        <f t="shared" si="37"/>
        <v>2258059.7209158484</v>
      </c>
      <c r="D129" s="87" t="str">
        <f t="shared" si="38"/>
        <v>0.00959845204641832-0.00050988468680752i</v>
      </c>
      <c r="E129" s="81">
        <f t="shared" si="15"/>
        <v>-40.343737915350019</v>
      </c>
      <c r="F129" s="88">
        <f t="shared" si="22"/>
        <v>-3.0407827222084136</v>
      </c>
      <c r="G129" s="6" t="str">
        <f t="shared" si="39"/>
        <v>0.0258263256789917-13.5696726039155i</v>
      </c>
      <c r="H129" s="81">
        <f t="shared" si="23"/>
        <v>22.651403122379836</v>
      </c>
      <c r="I129" s="88">
        <f t="shared" si="24"/>
        <v>-89.890952588302085</v>
      </c>
      <c r="J129" s="28" t="str">
        <f t="shared" si="40"/>
        <v>-0.00667107551716302-0.130261020222259i</v>
      </c>
      <c r="K129" s="81">
        <f t="shared" si="25"/>
        <v>-17.692334792970218</v>
      </c>
      <c r="L129" s="88">
        <f t="shared" si="26"/>
        <v>-92.93173531051049</v>
      </c>
      <c r="M129" s="28">
        <f t="shared" si="41"/>
        <v>0.44444444444444442</v>
      </c>
      <c r="N129" s="88">
        <f t="shared" si="42"/>
        <v>0.02</v>
      </c>
      <c r="O129" s="91" t="str">
        <f t="shared" si="43"/>
        <v>0.00526038510394716-0.0432002227408337i</v>
      </c>
      <c r="P129" s="81">
        <f t="shared" si="20"/>
        <v>-27.226358711106343</v>
      </c>
      <c r="Q129" s="88">
        <f t="shared" si="28"/>
        <v>-83.057412269042928</v>
      </c>
      <c r="R129" s="91" t="str">
        <f t="shared" si="29"/>
        <v>-0.00252968432897623-0.00017902110950515i</v>
      </c>
      <c r="S129" s="81">
        <f t="shared" si="30"/>
        <v>-51.916977631006354</v>
      </c>
      <c r="T129" s="88">
        <f t="shared" si="31"/>
        <v>-175.95203160027827</v>
      </c>
      <c r="U129" s="44" t="str">
        <f>IMPRODUCT(COMPLEX(-1,0),IMDIV(COMPLEX(1,C129*Calculations!$B$204*Calculations!$B$206),IMPRODUCT(COMPLEX(0,C129*Calculations!$B$193),COMPLEX((Calculations!$B$206+Calculations!$B$208),C129*Calculations!$B$204*Calculations!$B$206*Calculations!$B$208))))</f>
        <v>-0.0284704141032057+0.160770676056812i</v>
      </c>
      <c r="V129" s="44">
        <f t="shared" si="32"/>
        <v>-15.74176105868645</v>
      </c>
      <c r="W129" s="44">
        <f t="shared" si="33"/>
        <v>100.04223334214282</v>
      </c>
      <c r="X129" s="44">
        <f>Calculations!$B$216/(Calculations!$B$216+Calculations!$B$218)</f>
        <v>0.80079681274900394</v>
      </c>
      <c r="Y129" s="44" t="str">
        <f t="shared" si="34"/>
        <v>0.0000807223248812165-0.000321601805523744i</v>
      </c>
      <c r="Z129" s="44">
        <f t="shared" si="35"/>
        <v>-69.588291970903796</v>
      </c>
      <c r="AA129" s="44">
        <f t="shared" si="36"/>
        <v>-75.909798258135424</v>
      </c>
      <c r="AB129" s="44"/>
      <c r="AC129" s="44"/>
      <c r="AD129" s="44"/>
      <c r="AE129" s="44"/>
      <c r="AF129" t="s">
        <v>563</v>
      </c>
      <c r="AG129">
        <f t="array" ref="AG129">INDEX($AA$79:$AA$133,(MATCH(TRUE,$Z$79:$Z$133&lt;0,)-1))</f>
        <v>88.238947451010915</v>
      </c>
      <c r="AH129">
        <f t="array" ref="AH129">INDEX($AA$79:$AA$133,(MATCH(TRUE,$Z$79:$Z$133&lt;0,)-0))</f>
        <v>82.725098065334763</v>
      </c>
      <c r="AJ129">
        <f>(AG127*AH129-AG129*AH127)/(AG127-AH127)</f>
        <v>84.390094469505513</v>
      </c>
      <c r="AK129" t="str">
        <f>"Phase Margin = "&amp;ROUND(AJ129,0)&amp;"°"</f>
        <v>Phase Margin = 84°</v>
      </c>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row>
    <row r="130" spans="1:70">
      <c r="B130" s="81">
        <v>464158.88336127804</v>
      </c>
      <c r="C130" s="84">
        <f t="shared" si="37"/>
        <v>2916396.2761324653</v>
      </c>
      <c r="D130" s="87" t="str">
        <f t="shared" si="38"/>
        <v>0.0095979968174974-0.000394785981053111i</v>
      </c>
      <c r="E130" s="81">
        <f t="shared" si="15"/>
        <v>-40.34904655895523</v>
      </c>
      <c r="F130" s="88">
        <f t="shared" si="22"/>
        <v>-2.3553693099148587</v>
      </c>
      <c r="G130" s="6" t="str">
        <f t="shared" si="39"/>
        <v>0.0154806083513751-10.5061155671312i</v>
      </c>
      <c r="H130" s="81">
        <f t="shared" si="23"/>
        <v>20.428852903752556</v>
      </c>
      <c r="I130" s="88">
        <f t="shared" si="24"/>
        <v>-89.915575564037752</v>
      </c>
      <c r="J130" s="28" t="str">
        <f t="shared" si="40"/>
        <v>-0.00399908431153785-0.100843775304741i</v>
      </c>
      <c r="K130" s="81">
        <f t="shared" si="25"/>
        <v>-19.920193655202624</v>
      </c>
      <c r="L130" s="88">
        <f t="shared" si="26"/>
        <v>-92.270944873952601</v>
      </c>
      <c r="M130" s="28">
        <f t="shared" si="41"/>
        <v>0.44444444444444442</v>
      </c>
      <c r="N130" s="88">
        <f t="shared" si="42"/>
        <v>0.02</v>
      </c>
      <c r="O130" s="91" t="str">
        <f t="shared" si="43"/>
        <v>0.00317245963176334-0.0336472320331001i</v>
      </c>
      <c r="P130" s="81">
        <f t="shared" si="20"/>
        <v>-29.42257569037892</v>
      </c>
      <c r="Q130" s="88">
        <f t="shared" si="28"/>
        <v>-84.613739052840629</v>
      </c>
      <c r="R130" s="91" t="str">
        <f t="shared" si="29"/>
        <v>-0.00151843487698901-0.0000831022919869887i</v>
      </c>
      <c r="S130" s="81">
        <f t="shared" si="30"/>
        <v>-56.359087809143531</v>
      </c>
      <c r="T130" s="88">
        <f t="shared" si="31"/>
        <v>-176.8673893639446</v>
      </c>
      <c r="U130" s="44" t="str">
        <f>IMPRODUCT(COMPLEX(-1,0),IMDIV(COMPLEX(1,C130*Calculations!$B$204*Calculations!$B$206),IMPRODUCT(COMPLEX(0,C130*Calculations!$B$193),COMPLEX((Calculations!$B$206+Calculations!$B$208),C130*Calculations!$B$204*Calculations!$B$206*Calculations!$B$208))))</f>
        <v>-0.0172822628501502+0.126028758170667i</v>
      </c>
      <c r="V130" s="44">
        <f t="shared" si="32"/>
        <v>-17.9096982957352</v>
      </c>
      <c r="W130" s="44">
        <f t="shared" si="33"/>
        <v>97.808242286305713</v>
      </c>
      <c r="X130" s="44">
        <f>Calculations!$B$216/(Calculations!$B$216+Calculations!$B$218)</f>
        <v>0.80079681274900394</v>
      </c>
      <c r="Y130" s="44" t="str">
        <f t="shared" si="34"/>
        <v>0.0000294014706548542-0.000152095551862683i</v>
      </c>
      <c r="Z130" s="44">
        <f t="shared" si="35"/>
        <v>-76.198339386089728</v>
      </c>
      <c r="AA130" s="44">
        <f t="shared" si="36"/>
        <v>-79.059147077638869</v>
      </c>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row>
    <row r="131" spans="1:70">
      <c r="B131" s="81">
        <v>599484.25031894213</v>
      </c>
      <c r="C131" s="84">
        <f t="shared" si="37"/>
        <v>3766670.6334895464</v>
      </c>
      <c r="D131" s="87" t="str">
        <f t="shared" si="38"/>
        <v>0.00959772391406027-0.000305668812253162i</v>
      </c>
      <c r="E131" s="81">
        <f t="shared" si="15"/>
        <v>-40.352232131197226</v>
      </c>
      <c r="F131" s="88">
        <f t="shared" si="22"/>
        <v>-1.8241424021295203</v>
      </c>
      <c r="G131" s="6" t="str">
        <f t="shared" si="39"/>
        <v>0.00927970994238194-8.13432312669984i</v>
      </c>
      <c r="H131" s="81">
        <f t="shared" si="23"/>
        <v>18.206434057376487</v>
      </c>
      <c r="I131" s="88">
        <f t="shared" si="24"/>
        <v>-89.934636481011594</v>
      </c>
      <c r="J131" s="28" t="str">
        <f t="shared" si="40"/>
        <v>-0.00239734479459223-0.0780738241157367i</v>
      </c>
      <c r="K131" s="81">
        <f t="shared" si="25"/>
        <v>-22.145798073820735</v>
      </c>
      <c r="L131" s="88">
        <f t="shared" si="26"/>
        <v>-91.758778883141119</v>
      </c>
      <c r="M131" s="28">
        <f t="shared" si="41"/>
        <v>0.44444444444444442</v>
      </c>
      <c r="N131" s="88">
        <f t="shared" si="42"/>
        <v>0.02</v>
      </c>
      <c r="O131" s="91" t="str">
        <f t="shared" si="43"/>
        <v>0.00190871248196204-0.0261450263802887i</v>
      </c>
      <c r="P131" s="81">
        <f t="shared" si="20"/>
        <v>-31.62913317853257</v>
      </c>
      <c r="Q131" s="88">
        <f t="shared" si="28"/>
        <v>-85.824540414577683</v>
      </c>
      <c r="R131" s="91" t="str">
        <f t="shared" si="29"/>
        <v>-0.000910969021613457-0.0000385747544462461i</v>
      </c>
      <c r="S131" s="81">
        <f t="shared" si="30"/>
        <v>-60.802147563106608</v>
      </c>
      <c r="T131" s="88">
        <f t="shared" si="31"/>
        <v>-177.57527315430104</v>
      </c>
      <c r="U131" s="44" t="str">
        <f>IMPRODUCT(COMPLEX(-1,0),IMDIV(COMPLEX(1,C131*Calculations!$B$204*Calculations!$B$206),IMPRODUCT(COMPLEX(0,C131*Calculations!$B$193),COMPLEX((Calculations!$B$206+Calculations!$B$208),C131*Calculations!$B$204*Calculations!$B$206*Calculations!$B$208))))</f>
        <v>-0.0104391671018922+0.0983134570897584i</v>
      </c>
      <c r="V131" s="44">
        <f t="shared" si="32"/>
        <v>-20.099049134442588</v>
      </c>
      <c r="W131" s="44">
        <f t="shared" si="33"/>
        <v>96.061097229449928</v>
      </c>
      <c r="X131" s="44">
        <f>Calculations!$B$216/(Calculations!$B$216+Calculations!$B$218)</f>
        <v>0.80079681274900394</v>
      </c>
      <c r="Y131" s="44" t="str">
        <f t="shared" si="34"/>
        <v>0.0000106523395886896-0.000071397302499171i</v>
      </c>
      <c r="Z131" s="44">
        <f t="shared" si="35"/>
        <v>-82.830749978760167</v>
      </c>
      <c r="AA131" s="44">
        <f t="shared" si="36"/>
        <v>-81.514175924851116</v>
      </c>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row>
    <row r="132" spans="1:70">
      <c r="B132" s="81">
        <v>774263.68268112827</v>
      </c>
      <c r="C132" s="84">
        <f t="shared" si="37"/>
        <v>4864842.1949048229</v>
      </c>
      <c r="D132" s="87" t="str">
        <f t="shared" si="38"/>
        <v>0.00959756031243564-0.000236668429531299i</v>
      </c>
      <c r="E132" s="81">
        <f t="shared" si="15"/>
        <v>-40.354142956093291</v>
      </c>
      <c r="F132" s="88">
        <f t="shared" si="22"/>
        <v>-1.412583425994774</v>
      </c>
      <c r="G132" s="6" t="str">
        <f t="shared" si="39"/>
        <v>0.00556279884509854-6.29802715412468i</v>
      </c>
      <c r="H132" s="81">
        <f t="shared" si="23"/>
        <v>15.984093963696989</v>
      </c>
      <c r="I132" s="88">
        <f t="shared" si="24"/>
        <v>-89.949392912189751</v>
      </c>
      <c r="J132" s="28" t="str">
        <f t="shared" si="40"/>
        <v>-0.00143715489829038-0.0604470119999355i</v>
      </c>
      <c r="K132" s="81">
        <f t="shared" si="25"/>
        <v>-24.370048992396299</v>
      </c>
      <c r="L132" s="88">
        <f t="shared" si="26"/>
        <v>-91.361976338184519</v>
      </c>
      <c r="M132" s="28">
        <f t="shared" si="41"/>
        <v>0.44444444444444442</v>
      </c>
      <c r="N132" s="88">
        <f t="shared" si="42"/>
        <v>0.02</v>
      </c>
      <c r="O132" s="91" t="str">
        <f t="shared" si="43"/>
        <v>0.00114672737092328-0.0202866530208629i</v>
      </c>
      <c r="P132" s="81">
        <f t="shared" si="20"/>
        <v>-33.841937473315504</v>
      </c>
      <c r="Q132" s="88">
        <f t="shared" si="28"/>
        <v>-86.764730265929998</v>
      </c>
      <c r="R132" s="91" t="str">
        <f t="shared" si="29"/>
        <v>-0.000546359559716574-0.0000179053700649704i</v>
      </c>
      <c r="S132" s="81">
        <f t="shared" si="30"/>
        <v>-65.24576719651678</v>
      </c>
      <c r="T132" s="88">
        <f t="shared" si="31"/>
        <v>-178.12296668702297</v>
      </c>
      <c r="U132" s="44" t="str">
        <f>IMPRODUCT(COMPLEX(-1,0),IMDIV(COMPLEX(1,C132*Calculations!$B$204*Calculations!$B$206),IMPRODUCT(COMPLEX(0,C132*Calculations!$B$193),COMPLEX((Calculations!$B$206+Calculations!$B$208),C132*Calculations!$B$204*Calculations!$B$206*Calculations!$B$208))))</f>
        <v>-0.00628675315439747+0.0764653758597187i</v>
      </c>
      <c r="V132" s="44">
        <f t="shared" si="32"/>
        <v>-22.301445507135142</v>
      </c>
      <c r="W132" s="44">
        <f t="shared" si="33"/>
        <v>94.700115285193306</v>
      </c>
      <c r="X132" s="44">
        <f>Calculations!$B$216/(Calculations!$B$216+Calculations!$B$218)</f>
        <v>0.80079681274900394</v>
      </c>
      <c r="Y132" s="44" t="str">
        <f t="shared" si="34"/>
        <v>3.84700269330338E-06-0.0000333652171783062i</v>
      </c>
      <c r="Z132" s="44">
        <f t="shared" si="35"/>
        <v>-89.476765984862908</v>
      </c>
      <c r="AA132" s="44">
        <f t="shared" si="36"/>
        <v>-83.422851401829632</v>
      </c>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row>
    <row r="133" spans="1:70" ht="15.75" thickBot="1">
      <c r="B133" s="103">
        <v>1000000</v>
      </c>
      <c r="C133" s="104">
        <f t="shared" si="37"/>
        <v>6283185.307179586</v>
      </c>
      <c r="D133" s="105" t="str">
        <f t="shared" si="38"/>
        <v>0.00959746223572621-0.000183243848394035i</v>
      </c>
      <c r="E133" s="103">
        <f t="shared" si="15"/>
        <v>-40.355288870039104</v>
      </c>
      <c r="F133" s="106">
        <f t="shared" si="22"/>
        <v>-1.0938124446835091</v>
      </c>
      <c r="G133" s="107" t="str">
        <f t="shared" si="39"/>
        <v>0.00333472364684563-4.87629479003163i</v>
      </c>
      <c r="H133" s="103">
        <f t="shared" si="23"/>
        <v>13.761801079977008</v>
      </c>
      <c r="I133" s="106">
        <f t="shared" si="24"/>
        <v>-89.960817471205374</v>
      </c>
      <c r="J133" s="108" t="str">
        <f t="shared" si="40"/>
        <v>-0.000861546138961993-0.0468006661651914i</v>
      </c>
      <c r="K133" s="103">
        <f t="shared" si="25"/>
        <v>-26.593487790062099</v>
      </c>
      <c r="L133" s="106">
        <f t="shared" si="26"/>
        <v>-91.054629915888881</v>
      </c>
      <c r="M133" s="28">
        <f t="shared" si="41"/>
        <v>0.44444444444444442</v>
      </c>
      <c r="N133" s="106">
        <f t="shared" si="42"/>
        <v>0.02</v>
      </c>
      <c r="O133" s="109" t="str">
        <f t="shared" si="43"/>
        <v>0.000688340913756655-0.0157274838079032i</v>
      </c>
      <c r="P133" s="103">
        <f t="shared" si="20"/>
        <v>-36.058503987195209</v>
      </c>
      <c r="Q133" s="106">
        <f t="shared" si="28"/>
        <v>-87.493949037842199</v>
      </c>
      <c r="R133" s="109" t="str">
        <f t="shared" si="29"/>
        <v>-0.000327622975690176-8.31108674101474E-06i</v>
      </c>
      <c r="S133" s="103">
        <f t="shared" si="30"/>
        <v>-69.689719084556899</v>
      </c>
      <c r="T133" s="106">
        <f t="shared" si="31"/>
        <v>-178.54684157993486</v>
      </c>
      <c r="U133" s="44" t="str">
        <f>IMPRODUCT(COMPLEX(-1,0),IMDIV(COMPLEX(1,C133*Calculations!$B$204*Calculations!$B$206),IMPRODUCT(COMPLEX(0,C133*Calculations!$B$193),COMPLEX((Calculations!$B$206+Calculations!$B$208),C133*Calculations!$B$204*Calculations!$B$206*Calculations!$B$208))))</f>
        <v>-0.00377917659947113+0.059365597165117i</v>
      </c>
      <c r="V133" s="44">
        <f t="shared" si="32"/>
        <v>-24.511738898740923</v>
      </c>
      <c r="W133" s="44">
        <f t="shared" si="33"/>
        <v>93.642498188020667</v>
      </c>
      <c r="X133" s="44">
        <f>Calculations!$B$216/(Calculations!$B$216+Calculations!$B$218)</f>
        <v>0.80079681274900394</v>
      </c>
      <c r="Y133" s="44" t="str">
        <f t="shared" si="34"/>
        <v>0.0000013866098798423-0.0000155499722350548i</v>
      </c>
      <c r="Z133" s="44">
        <f t="shared" si="35"/>
        <v>-96.1310112645088</v>
      </c>
      <c r="AA133" s="44">
        <f t="shared" si="36"/>
        <v>-84.904343391914168</v>
      </c>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row>
    <row r="134" spans="1:70">
      <c r="A134" s="79" t="s">
        <v>334</v>
      </c>
      <c r="B134" s="113">
        <f>Calculations!B198</f>
        <v>7000</v>
      </c>
      <c r="C134" s="114">
        <f t="shared" si="37"/>
        <v>43982.297150257102</v>
      </c>
      <c r="D134" s="115" t="str">
        <f t="shared" si="38"/>
        <v>0.0125544930586958-0.0258392750301515i</v>
      </c>
      <c r="E134" s="114">
        <f t="shared" si="15"/>
        <v>-30.833968745228063</v>
      </c>
      <c r="F134" s="114">
        <f>IMARGUMENT(D134)*(180/PI())</f>
        <v>-64.086337387864404</v>
      </c>
      <c r="G134" s="114" t="str">
        <f t="shared" si="39"/>
        <v>152.100182692338-903.188868304003i</v>
      </c>
      <c r="H134" s="114">
        <f t="shared" si="23"/>
        <v>59.237022204733776</v>
      </c>
      <c r="I134" s="114">
        <f>IMARGUMENT(G134)*(180/PI())</f>
        <v>-80.440880479681212</v>
      </c>
      <c r="J134" s="115" t="str">
        <f t="shared" si="40"/>
        <v>-21.4282048844411-15.2692368305375i</v>
      </c>
      <c r="K134" s="114">
        <f t="shared" si="25"/>
        <v>28.403053459505713</v>
      </c>
      <c r="L134" s="114">
        <f>IMARGUMENT(J134)*(180/PI())</f>
        <v>-144.52721786754569</v>
      </c>
      <c r="M134" s="28">
        <f t="shared" si="41"/>
        <v>0.44444444444444442</v>
      </c>
      <c r="N134" s="114">
        <f t="shared" si="42"/>
        <v>0.02</v>
      </c>
      <c r="O134" s="114" t="str">
        <f t="shared" si="43"/>
        <v>0.344241035513642-0.0770171488230028i</v>
      </c>
      <c r="P134" s="114">
        <f t="shared" si="20"/>
        <v>-9.0506257230421845</v>
      </c>
      <c r="Q134" s="114">
        <f>IMARGUMENT(O134)*(180/PI())</f>
        <v>-12.611121458916738</v>
      </c>
      <c r="R134" s="114" t="str">
        <f>IMDIV(IMPRODUCT(J134,O134,COMPLEX(M134,0)),IMSUM(COMPLEX(1,0),IMPRODUCT(G134,O134,COMPLEX(N134,0),COMPLEX(M134,0))))</f>
        <v>0.153905610387011-1.3708933356901i</v>
      </c>
      <c r="S134" s="114">
        <f t="shared" si="30"/>
        <v>2.794468841061275</v>
      </c>
      <c r="T134" s="114">
        <f>IMARGUMENT(R134)*(180/PI())</f>
        <v>-83.594416149545381</v>
      </c>
      <c r="U134" s="97" t="str">
        <f>IMPRODUCT(COMPLEX(-1,0),IMDIV(COMPLEX(1,C134*Calculations!$B$204*Calculations!$B$206),IMPRODUCT(COMPLEX(0,C134*Calculations!$B$193),COMPLEX((Calculations!$B$206+Calculations!$B$208),C134*Calculations!$B$204*Calculations!$B$206*Calculations!$B$208))))</f>
        <v>-0.907128868978429+0.183068476646448i</v>
      </c>
      <c r="V134" s="114">
        <f t="shared" si="32"/>
        <v>-0.67324937744542712</v>
      </c>
      <c r="W134" s="114">
        <f t="shared" si="33"/>
        <v>168.59033710282378</v>
      </c>
      <c r="X134" s="44">
        <f>Calculations!$B$216/(Calculations!$B$216+Calculations!$B$218)</f>
        <v>0.80079681274900394</v>
      </c>
      <c r="Y134" s="44" t="str">
        <f t="shared" si="34"/>
        <v>0.0891728350529074+1.01841509774438i</v>
      </c>
      <c r="Z134" s="114">
        <f t="shared" si="35"/>
        <v>0.19166618240486932</v>
      </c>
      <c r="AA134" s="119">
        <f t="shared" si="36"/>
        <v>84.995920953278414</v>
      </c>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row>
    <row r="135" spans="1:70">
      <c r="A135" t="s">
        <v>337</v>
      </c>
      <c r="B135" s="101">
        <f>Calculations!B230*1000</f>
        <v>636.61977236758128</v>
      </c>
      <c r="C135" s="97">
        <f t="shared" si="37"/>
        <v>3999.9999999999995</v>
      </c>
      <c r="D135" s="98" t="str">
        <f t="shared" si="38"/>
        <v>0.149797562644652-0.11141246311495i</v>
      </c>
      <c r="E135" s="97">
        <f t="shared" si="15"/>
        <v>-14.577717125599019</v>
      </c>
      <c r="F135" s="97">
        <f>IMARGUMENT(D135)*(180/PI())</f>
        <v>-36.640155652360534</v>
      </c>
      <c r="G135" s="97" t="str">
        <f t="shared" si="39"/>
        <v>327.962702063209+222.600303415452i</v>
      </c>
      <c r="H135" s="97">
        <f t="shared" si="23"/>
        <v>51.962050145612238</v>
      </c>
      <c r="I135" s="97">
        <f>IMARGUMENT(G135)*(180/PI())</f>
        <v>34.166175631086581</v>
      </c>
      <c r="J135" s="98" t="str">
        <f t="shared" si="40"/>
        <v>73.9284615010734-3.19414955110202i</v>
      </c>
      <c r="K135" s="97">
        <f t="shared" si="25"/>
        <v>37.384333020013202</v>
      </c>
      <c r="L135" s="97">
        <f>IMARGUMENT(J135)*(180/PI())</f>
        <v>-2.4739800212740559</v>
      </c>
      <c r="M135" s="28">
        <f t="shared" si="41"/>
        <v>0.44444444444444442</v>
      </c>
      <c r="N135" s="97">
        <f t="shared" si="42"/>
        <v>0.02</v>
      </c>
      <c r="O135" s="97" t="str">
        <f t="shared" si="43"/>
        <v>0.352798130908288-0.252605045560327i</v>
      </c>
      <c r="P135" s="97">
        <f t="shared" si="20"/>
        <v>-7.2520542867171489</v>
      </c>
      <c r="Q135" s="97">
        <f>IMARGUMENT(O135)*(180/PI())</f>
        <v>-35.602833570352779</v>
      </c>
      <c r="R135" s="97" t="str">
        <f>IMDIV(IMPRODUCT(J135,O135,COMPLEX(M135,0)),IMSUM(COMPLEX(1,0),IMPRODUCT(G135,O135,COMPLEX(N135,0),COMPLEX(M135,0))))</f>
        <v>4.49475622044065-3.41272823570549i</v>
      </c>
      <c r="S135" s="97">
        <f t="shared" si="30"/>
        <v>15.031032664002272</v>
      </c>
      <c r="T135" s="97">
        <f>IMARGUMENT(R135)*(180/PI())</f>
        <v>-37.208269268902278</v>
      </c>
      <c r="U135" s="97" t="str">
        <f>IMPRODUCT(COMPLEX(-1,0),IMDIV(COMPLEX(1,C135*Calculations!$B$204*Calculations!$B$206),IMPRODUCT(COMPLEX(0,C135*Calculations!$B$193),COMPLEX((Calculations!$B$206+Calculations!$B$208),C135*Calculations!$B$204*Calculations!$B$206*Calculations!$B$208))))</f>
        <v>-0.917790225460676+0.936146029969889i</v>
      </c>
      <c r="V135" s="97">
        <f t="shared" si="32"/>
        <v>2.3520217108373802</v>
      </c>
      <c r="W135" s="97">
        <f>IMARGUMENT(U135)*(180/PI())</f>
        <v>134.43273359014208</v>
      </c>
      <c r="X135" s="44">
        <f>Calculations!$B$216/(Calculations!$B$216+Calculations!$B$218)</f>
        <v>0.80079681274900394</v>
      </c>
      <c r="Y135" s="44" t="str">
        <f t="shared" si="34"/>
        <v>-0.74508644813211+5.87778198595522i</v>
      </c>
      <c r="Z135" s="97">
        <f t="shared" si="35"/>
        <v>15.453501093628672</v>
      </c>
      <c r="AA135" s="120">
        <f>IMARGUMENT(Y135)*(180/PI())</f>
        <v>97.224464321239793</v>
      </c>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row>
    <row r="136" spans="1:70" ht="15.75" thickBot="1">
      <c r="A136" t="s">
        <v>338</v>
      </c>
      <c r="B136" s="102">
        <f>Calculations!B231*1000</f>
        <v>63661.977236758132</v>
      </c>
      <c r="C136" s="99">
        <f t="shared" si="37"/>
        <v>399999.99999999994</v>
      </c>
      <c r="D136" s="118" t="str">
        <f t="shared" si="38"/>
        <v>0.00963353104555732-0.00287793375362134i</v>
      </c>
      <c r="E136" s="99">
        <f t="shared" si="15"/>
        <v>-39.953028742784326</v>
      </c>
      <c r="F136" s="99">
        <f>IMARGUMENT(D136)*(180/PI())</f>
        <v>-16.633058753857423</v>
      </c>
      <c r="G136" s="99" t="str">
        <f t="shared" si="39"/>
        <v>0.830711439022293-76.8219899550583i</v>
      </c>
      <c r="H136" s="99">
        <f t="shared" si="23"/>
        <v>37.710218848799322</v>
      </c>
      <c r="I136" s="99">
        <f>IMARGUMENT(G136)*(180/PI())</f>
        <v>-89.380458584196333</v>
      </c>
      <c r="J136" s="118" t="str">
        <f t="shared" si="40"/>
        <v>-0.2130859134743-0.742457757703428i</v>
      </c>
      <c r="K136" s="99">
        <f t="shared" si="25"/>
        <v>-2.2428098939850134</v>
      </c>
      <c r="L136" s="99">
        <f>IMARGUMENT(J136)*(180/PI())</f>
        <v>-106.01351733805369</v>
      </c>
      <c r="M136" s="28">
        <f t="shared" si="41"/>
        <v>0.44444444444444442</v>
      </c>
      <c r="N136" s="99">
        <f t="shared" si="42"/>
        <v>0.02</v>
      </c>
      <c r="O136" s="99" t="str">
        <f t="shared" si="43"/>
        <v>0.114807160049685-0.167797557996299i</v>
      </c>
      <c r="P136" s="99">
        <f t="shared" si="20"/>
        <v>-13.836641500678988</v>
      </c>
      <c r="Q136" s="99">
        <f>IMARGUMENT(O136)*(180/PI())</f>
        <v>-55.620049595470739</v>
      </c>
      <c r="R136" s="99" t="str">
        <f>IMDIV(IMPRODUCT(J136,O136,COMPLEX(M136,0)),IMSUM(COMPLEX(1,0),IMPRODUCT(G136,O136,COMPLEX(N136,0),COMPLEX(M136,0))))</f>
        <v>-0.0719332021113377-0.0312789834559284i</v>
      </c>
      <c r="S136" s="99">
        <f t="shared" si="30"/>
        <v>-22.109299987967436</v>
      </c>
      <c r="T136" s="99">
        <f>IMARGUMENT(R136)*(180/PI())</f>
        <v>-156.49897041699992</v>
      </c>
      <c r="U136" s="97" t="str">
        <f>IMPRODUCT(COMPLEX(-1,0),IMDIV(COMPLEX(1,C136*Calculations!$B$204*Calculations!$B$206),IMPRODUCT(COMPLEX(0,C136*Calculations!$B$193),COMPLEX((Calculations!$B$206+Calculations!$B$208),C136*Calculations!$B$204*Calculations!$B$206*Calculations!$B$208))))</f>
        <v>-0.46350655314835+0.468187969335148i</v>
      </c>
      <c r="V136" s="99">
        <f t="shared" si="32"/>
        <v>-3.6247194674950913</v>
      </c>
      <c r="W136" s="99">
        <f>IMARGUMENT(U136)*(180/PI())</f>
        <v>134.71211257990035</v>
      </c>
      <c r="X136" s="44">
        <f>Calculations!$B$216/(Calculations!$B$216+Calculations!$B$218)</f>
        <v>0.80079681274900394</v>
      </c>
      <c r="Y136" s="44" t="str">
        <f t="shared" si="34"/>
        <v>0.0384269992718899-0.0153594798778673i</v>
      </c>
      <c r="Z136" s="99">
        <f t="shared" si="35"/>
        <v>-27.663572736673512</v>
      </c>
      <c r="AA136" s="100">
        <f>IMARGUMENT(Y136)*(180/PI())</f>
        <v>-21.786857837099468</v>
      </c>
    </row>
    <row r="137" spans="1:70" ht="15.75" thickBot="1">
      <c r="A137" t="s">
        <v>339</v>
      </c>
      <c r="B137" s="121">
        <f>Calculations!B195</f>
        <v>834.72872250994067</v>
      </c>
      <c r="C137" s="99">
        <f t="shared" si="37"/>
        <v>5244.7552447552453</v>
      </c>
      <c r="D137" s="118" t="str">
        <f t="shared" si="38"/>
        <v>0.119267252833138-0.114271473231731i</v>
      </c>
      <c r="E137" s="99">
        <f t="shared" si="15"/>
        <v>-15.641134930515449</v>
      </c>
      <c r="F137" s="99">
        <f>IMARGUMENT(D137)*(180/PI())</f>
        <v>-43.774535416995974</v>
      </c>
      <c r="G137" s="99" t="str">
        <f t="shared" si="39"/>
        <v>348.593508983156+296.723996323914i</v>
      </c>
      <c r="H137" s="99">
        <f t="shared" si="23"/>
        <v>53.213137044410203</v>
      </c>
      <c r="I137" s="99">
        <f>IMARGUMENT(G137)*(180/PI())</f>
        <v>40.40454323685173</v>
      </c>
      <c r="J137" s="118" t="str">
        <f t="shared" si="40"/>
        <v>75.4828783750253-4.44483793930054i</v>
      </c>
      <c r="K137" s="99">
        <f t="shared" si="25"/>
        <v>37.572002113894762</v>
      </c>
      <c r="L137" s="99">
        <f>IMARGUMENT(J137)*(180/PI())</f>
        <v>-3.369992180144243</v>
      </c>
      <c r="M137" s="28">
        <f t="shared" si="41"/>
        <v>0.44444444444444442</v>
      </c>
      <c r="N137" s="99">
        <f t="shared" si="42"/>
        <v>0.02</v>
      </c>
      <c r="O137" s="99" t="str">
        <f t="shared" si="43"/>
        <v>0.35274553452728-0.195439108259982i</v>
      </c>
      <c r="P137" s="99">
        <f t="shared" si="20"/>
        <v>-7.8881040135024225</v>
      </c>
      <c r="Q137" s="99">
        <f>IMARGUMENT(O137)*(180/PI())</f>
        <v>-28.988700083271205</v>
      </c>
      <c r="R137" s="99" t="str">
        <f>IMDIV(IMPRODUCT(J137,O137,COMPLEX(M137,0)),IMSUM(COMPLEX(1,0),IMPRODUCT(G137,O137,COMPLEX(N137,0),COMPLEX(M137,0))))</f>
        <v>3.98070430482076-3.27633867298331i</v>
      </c>
      <c r="S137" s="99">
        <f t="shared" si="30"/>
        <v>14.245615426469273</v>
      </c>
      <c r="T137" s="99">
        <f>IMARGUMENT(R137)*(180/PI())</f>
        <v>-39.456259876007771</v>
      </c>
      <c r="U137" s="97" t="str">
        <f>IMPRODUCT(COMPLEX(-1,0),IMDIV(COMPLEX(1,C137*Calculations!$B$204*Calculations!$B$206),IMPRODUCT(COMPLEX(0,C137*Calculations!$B$193),COMPLEX((Calculations!$B$206+Calculations!$B$208),C137*Calculations!$B$204*Calculations!$B$206*Calculations!$B$208))))</f>
        <v>-0.917725528050963+0.718950970528698i</v>
      </c>
      <c r="V137" s="99">
        <f t="shared" si="32"/>
        <v>1.3325481333871854</v>
      </c>
      <c r="W137" s="99">
        <f>IMARGUMENT(U137)*(180/PI())</f>
        <v>141.92466562643847</v>
      </c>
      <c r="X137" s="44">
        <f>Calculations!$B$216/(Calculations!$B$216+Calculations!$B$218)</f>
        <v>0.80079681274900394</v>
      </c>
      <c r="Y137" s="44" t="str">
        <f t="shared" si="34"/>
        <v>-1.03916767082987+4.69964495329596i</v>
      </c>
      <c r="Z137" s="99">
        <f t="shared" si="35"/>
        <v>13.648610278645473</v>
      </c>
      <c r="AA137" s="100">
        <f>IMARGUMENT(Y137)*(180/PI())</f>
        <v>102.46840575043068</v>
      </c>
    </row>
    <row r="165" spans="2:94" ht="32.25" thickBot="1">
      <c r="B165" s="32" t="s">
        <v>294</v>
      </c>
    </row>
    <row r="166" spans="2:94">
      <c r="B166" s="308" t="s">
        <v>33</v>
      </c>
      <c r="C166" s="309"/>
      <c r="D166" s="315" t="s">
        <v>31</v>
      </c>
      <c r="E166" s="316"/>
      <c r="F166" s="316"/>
      <c r="G166" s="316" t="s">
        <v>288</v>
      </c>
      <c r="H166" s="316"/>
      <c r="I166" s="316"/>
      <c r="J166" s="316" t="s">
        <v>289</v>
      </c>
      <c r="K166" s="316"/>
      <c r="L166" s="316"/>
      <c r="M166" s="316"/>
      <c r="N166" s="316"/>
      <c r="O166" s="316"/>
      <c r="P166" s="316"/>
      <c r="Q166" s="316"/>
      <c r="R166" s="316"/>
      <c r="S166" s="316"/>
      <c r="T166" s="316"/>
      <c r="U166" s="77"/>
      <c r="V166" s="77"/>
      <c r="W166" s="77"/>
      <c r="X166" s="77"/>
      <c r="Y166" s="77"/>
      <c r="Z166" s="77"/>
      <c r="AA166" s="77"/>
      <c r="AB166" s="77"/>
      <c r="AC166" s="307"/>
      <c r="AD166" s="307"/>
      <c r="AE166" s="307"/>
      <c r="AF166" s="78"/>
      <c r="AG166" s="78"/>
      <c r="AH166" s="78"/>
      <c r="AI166" s="78"/>
      <c r="AJ166" s="78"/>
      <c r="AK166" s="78"/>
      <c r="AL166" s="78"/>
      <c r="AM166" s="78"/>
      <c r="AN166" s="78"/>
      <c r="AO166" s="78"/>
      <c r="AP166" s="78"/>
      <c r="AQ166" s="78"/>
      <c r="AR166" s="78"/>
      <c r="AS166" s="78"/>
      <c r="AT166" s="78"/>
      <c r="AU166" s="78"/>
      <c r="AV166" s="78"/>
      <c r="AW166" s="78"/>
      <c r="AX166" s="78"/>
      <c r="AY166" s="78"/>
      <c r="AZ166" s="78"/>
      <c r="BA166" s="78"/>
      <c r="BB166" s="78"/>
      <c r="BC166" s="78"/>
      <c r="BD166" s="306"/>
      <c r="BE166" s="306"/>
      <c r="BF166" s="306"/>
      <c r="BG166" s="306"/>
      <c r="BH166" s="306"/>
      <c r="BI166" s="306"/>
      <c r="BJ166" s="306"/>
      <c r="BK166" s="306"/>
      <c r="BL166" s="306"/>
      <c r="BM166" s="306"/>
      <c r="BN166" s="306"/>
      <c r="BO166" s="306"/>
      <c r="BP166" s="306"/>
      <c r="BQ166" s="306"/>
      <c r="BR166" s="306"/>
      <c r="BS166" s="306"/>
      <c r="BT166" s="306"/>
      <c r="BU166" s="306"/>
      <c r="BV166" s="306"/>
      <c r="BW166" s="306"/>
      <c r="BX166" s="306"/>
      <c r="BY166" s="306"/>
      <c r="BZ166" s="306"/>
      <c r="CA166" s="306"/>
      <c r="CB166" s="306"/>
      <c r="CC166" s="306"/>
      <c r="CD166" s="306"/>
      <c r="CE166" s="306"/>
      <c r="CF166" s="306"/>
      <c r="CG166" s="306"/>
      <c r="CH166" s="306"/>
      <c r="CI166" s="306"/>
      <c r="CJ166" s="306"/>
      <c r="CK166" s="306"/>
      <c r="CL166" s="306"/>
      <c r="CM166" s="306"/>
      <c r="CN166" s="306"/>
      <c r="CO166" s="306"/>
      <c r="CP166" s="306"/>
    </row>
    <row r="167" spans="2:94" ht="15.75" thickBot="1">
      <c r="B167" s="310"/>
      <c r="C167" s="311"/>
      <c r="D167" s="312" t="s">
        <v>287</v>
      </c>
      <c r="E167" s="313"/>
      <c r="F167" s="314"/>
      <c r="G167" s="312" t="s">
        <v>287</v>
      </c>
      <c r="H167" s="313"/>
      <c r="I167" s="314"/>
      <c r="J167" s="312" t="s">
        <v>287</v>
      </c>
      <c r="K167" s="313"/>
      <c r="L167" s="314"/>
      <c r="M167" s="317" t="s">
        <v>292</v>
      </c>
      <c r="N167" s="306"/>
      <c r="O167" s="306" t="s">
        <v>296</v>
      </c>
      <c r="P167" s="306"/>
      <c r="Q167" s="306"/>
      <c r="R167" s="306" t="s">
        <v>293</v>
      </c>
      <c r="S167" s="306"/>
      <c r="T167" s="306"/>
      <c r="U167" s="306" t="s">
        <v>295</v>
      </c>
      <c r="V167" s="306"/>
      <c r="W167" s="306"/>
      <c r="X167" s="170" t="s">
        <v>292</v>
      </c>
      <c r="Y167" s="306" t="s">
        <v>297</v>
      </c>
      <c r="Z167" s="306"/>
      <c r="AA167" s="306"/>
      <c r="AB167" s="78"/>
      <c r="AC167" s="307"/>
      <c r="AD167" s="307"/>
      <c r="AE167" s="307"/>
      <c r="AF167" s="78"/>
      <c r="AG167" s="78"/>
      <c r="AH167" s="78"/>
      <c r="AI167" s="78"/>
      <c r="AJ167" s="78"/>
      <c r="AK167" s="78"/>
      <c r="AL167" s="78"/>
      <c r="AM167" s="78"/>
      <c r="AN167" s="78"/>
      <c r="AO167" s="78"/>
      <c r="AP167" s="78"/>
      <c r="AQ167" s="78"/>
      <c r="AR167" s="78"/>
      <c r="AS167" s="78"/>
      <c r="AT167" s="78"/>
      <c r="AU167" s="78"/>
      <c r="AV167" s="78"/>
      <c r="AW167" s="78"/>
      <c r="AX167" s="78"/>
      <c r="AY167" s="78"/>
      <c r="AZ167" s="78"/>
      <c r="BA167" s="78"/>
      <c r="BB167" s="78"/>
      <c r="BC167" s="78"/>
      <c r="BD167" s="306"/>
      <c r="BE167" s="306"/>
      <c r="BF167" s="306"/>
      <c r="BG167" s="306"/>
      <c r="BH167" s="306"/>
      <c r="BI167" s="306"/>
      <c r="BJ167" s="306"/>
      <c r="BK167" s="306"/>
      <c r="BL167" s="306"/>
      <c r="BM167" s="306"/>
      <c r="BN167" s="306"/>
      <c r="BO167" s="306"/>
      <c r="BP167" s="306"/>
      <c r="BQ167" s="306"/>
      <c r="BR167" s="306"/>
      <c r="BS167" s="306"/>
      <c r="BT167" s="306"/>
      <c r="BU167" s="306"/>
      <c r="BV167" s="306"/>
      <c r="BW167" s="306"/>
      <c r="BX167" s="306"/>
      <c r="BY167" s="306"/>
      <c r="BZ167" s="306"/>
      <c r="CA167" s="306"/>
      <c r="CB167" s="306"/>
      <c r="CC167" s="306"/>
      <c r="CD167" s="306"/>
      <c r="CE167" s="306"/>
      <c r="CF167" s="306"/>
      <c r="CG167" s="306"/>
      <c r="CH167" s="306"/>
      <c r="CI167" s="306"/>
      <c r="CJ167" s="306"/>
      <c r="CK167" s="306"/>
      <c r="CL167" s="306"/>
      <c r="CM167" s="306"/>
      <c r="CN167" s="306"/>
      <c r="CO167" s="306"/>
      <c r="CP167" s="306"/>
    </row>
    <row r="168" spans="2:94" ht="45">
      <c r="B168" s="25" t="s">
        <v>35</v>
      </c>
      <c r="C168" s="26" t="s">
        <v>34</v>
      </c>
      <c r="D168" s="25" t="s">
        <v>38</v>
      </c>
      <c r="E168" s="26" t="s">
        <v>36</v>
      </c>
      <c r="F168" s="27" t="s">
        <v>37</v>
      </c>
      <c r="G168" s="25" t="s">
        <v>38</v>
      </c>
      <c r="H168" s="26" t="s">
        <v>36</v>
      </c>
      <c r="I168" s="27" t="s">
        <v>37</v>
      </c>
      <c r="J168" s="25" t="s">
        <v>38</v>
      </c>
      <c r="K168" s="26" t="s">
        <v>36</v>
      </c>
      <c r="L168" s="27" t="s">
        <v>37</v>
      </c>
      <c r="M168" s="76" t="s">
        <v>290</v>
      </c>
      <c r="N168" s="76" t="s">
        <v>291</v>
      </c>
      <c r="O168" s="25" t="s">
        <v>38</v>
      </c>
      <c r="P168" s="26" t="s">
        <v>36</v>
      </c>
      <c r="Q168" s="27" t="s">
        <v>37</v>
      </c>
      <c r="R168" s="25" t="s">
        <v>38</v>
      </c>
      <c r="S168" s="26" t="s">
        <v>36</v>
      </c>
      <c r="T168" s="27" t="s">
        <v>37</v>
      </c>
      <c r="U168" s="25" t="s">
        <v>38</v>
      </c>
      <c r="V168" s="26" t="s">
        <v>36</v>
      </c>
      <c r="W168" s="27" t="s">
        <v>37</v>
      </c>
      <c r="X168" s="180" t="s">
        <v>367</v>
      </c>
      <c r="Y168" s="25" t="s">
        <v>38</v>
      </c>
      <c r="Z168" s="26" t="s">
        <v>36</v>
      </c>
      <c r="AA168" s="27" t="s">
        <v>37</v>
      </c>
      <c r="AB168" s="76"/>
      <c r="AC168" s="76"/>
      <c r="AD168" s="76"/>
      <c r="AE168" s="76"/>
      <c r="AF168" s="76"/>
      <c r="AG168" s="76"/>
      <c r="AH168" s="76"/>
      <c r="AI168" s="76"/>
      <c r="AJ168" s="76"/>
      <c r="AK168" s="76"/>
      <c r="AL168" s="76"/>
      <c r="AM168" s="76"/>
      <c r="AN168" s="76"/>
      <c r="AO168" s="76"/>
      <c r="AP168" s="76"/>
      <c r="AQ168" s="76"/>
      <c r="AR168" s="76"/>
      <c r="AS168" s="76"/>
      <c r="AT168" s="76"/>
      <c r="AU168" s="76"/>
      <c r="AV168" s="76"/>
      <c r="AW168" s="76"/>
      <c r="AX168" s="76"/>
      <c r="AY168" s="76"/>
      <c r="AZ168" s="76"/>
      <c r="BA168" s="76"/>
      <c r="BB168" s="76"/>
      <c r="BC168" s="76"/>
      <c r="BD168" s="76"/>
      <c r="BE168" s="76"/>
      <c r="BF168" s="76"/>
      <c r="BG168" s="76"/>
      <c r="BH168" s="76"/>
      <c r="BI168" s="76"/>
      <c r="BJ168" s="76"/>
      <c r="BK168" s="76"/>
      <c r="BL168" s="76"/>
      <c r="BM168" s="76"/>
      <c r="BN168" s="76"/>
      <c r="BO168" s="76"/>
      <c r="BP168" s="76"/>
      <c r="BQ168" s="76"/>
      <c r="BR168" s="76"/>
      <c r="BS168" s="76"/>
      <c r="BT168" s="76"/>
      <c r="BU168" s="76"/>
      <c r="BV168" s="76"/>
      <c r="BW168" s="76"/>
      <c r="BX168" s="76"/>
      <c r="BY168" s="76"/>
      <c r="BZ168" s="76"/>
      <c r="CA168" s="76"/>
      <c r="CB168" s="76"/>
      <c r="CC168" s="76"/>
      <c r="CD168" s="76"/>
      <c r="CE168" s="76"/>
      <c r="CF168" s="76"/>
      <c r="CG168" s="76"/>
      <c r="CH168" s="76"/>
      <c r="CI168" s="76"/>
      <c r="CJ168" s="76"/>
      <c r="CK168" s="76"/>
      <c r="CL168" s="76"/>
      <c r="CM168" s="76"/>
      <c r="CN168" s="76"/>
      <c r="CO168" s="76"/>
      <c r="CP168" s="76"/>
    </row>
    <row r="169" spans="2:94">
      <c r="B169" s="1">
        <v>1</v>
      </c>
      <c r="C169" s="1">
        <f t="shared" ref="C169:C200" si="44">2*PI()*B169</f>
        <v>6.2831853071795862</v>
      </c>
      <c r="D169" s="80" t="str">
        <f>IMDIV(COMPLEX((POWER(V48_Nom,2)/(V12_Min*Calculations!$B$28*np)),((Zo_Boost_Cout*Zo_Boost_Resr*POWER(V48_Nom,2))/(V12_Min*Calculations!$B$28*np))*C169),COMPLEX(1,((Zo_Boost_Cout*Zo_Boost_Resr)+((Zo_Boost_Cout*POWER(V48_Nom,2))/(V12_Min*Calculations!$B$28*np)))*C169))</f>
        <v>3.19953290670704-0.0385982380375755i</v>
      </c>
      <c r="E169" s="1">
        <f t="shared" ref="E169:E200" si="45">20*LOG(IMABS(D169))</f>
        <v>10.102363619870324</v>
      </c>
      <c r="F169" s="1">
        <f t="shared" ref="F169:F200" si="46">IMARGUMENT(D169)*(180/PI())</f>
        <v>-0.69116615678130555</v>
      </c>
      <c r="G169" s="1" t="str">
        <f>IMDIV(IMSUM(COMPLEX(V48_Nom,0),IMPRODUCT(COMPLEX(np*(Calculations!$B$28*(V12_Min/V48_Nom)),0),D169)),IMSUM(IMPRODUCT(COMPLEX(((V12_Min/V48_Nom)^2),0),D169),COMPLEX(Rcs/np,(Lm*C169)/np)))</f>
        <v>478.803820649378+2.8384090342291i</v>
      </c>
      <c r="H169" s="1">
        <f>20*LOG10(IMABS(G169))</f>
        <v>53.603304764634522</v>
      </c>
      <c r="I169" s="1">
        <f>IMARGUMENT(G169)*(180/PI())</f>
        <v>0.33965258034492424</v>
      </c>
      <c r="J169" s="82" t="str">
        <f>IMPRODUCT(COMPLEX(-1,0),IMDIV(IMSUM(IMSUB(IMPRODUCT(COMPLEX((1-(V12_Min/V48_Nom))*V48_Nom,0),D169),IMPRODUCT(COMPLEX(V48_Nom,0),D169)),IMPRODUCT(COMPLEX(0,Calculations!$B$28*Lm*C169),D169)),IMSUM(IMPRODUCT(COMPLEX(((V12_Min/V48_Nom)^2),0),D169),COMPLEX(Rcs/np,(Lm*C169)/np))))</f>
        <v>191.521363412852-0.0340055665914436i</v>
      </c>
      <c r="K169" s="81">
        <f>20*LOG10(IMABS(J169))</f>
        <v>45.644344631971975</v>
      </c>
      <c r="L169" s="81">
        <f>IMARGUMENT(J169)*(180/PI())</f>
        <v>-1.0173149305365552E-2</v>
      </c>
      <c r="M169" s="1">
        <f t="shared" ref="M169:M200" si="47">1/(Kff*V48_Nom)</f>
        <v>0.66666666666666663</v>
      </c>
      <c r="N169" s="81">
        <f t="shared" ref="N169:N200" si="48">Rcs*Acs/np</f>
        <v>0.02</v>
      </c>
      <c r="O169" s="81" t="str">
        <f t="shared" ref="O169:O200" si="49">IMPRODUCT(COMPLEX(gm/(IL_Comp_Ccomp+IL_Comp_Chf),0),IMDIV(COMPLEX(1,C169*IL_Comp_Rcomp*IL_Comp_Ccomp),IMPRODUCT(COMPLEX(0,C169),COMPLEX(1,C169*IL_Comp_Rcomp*IL_Comp_Chf))))</f>
        <v>0.352871286948169-157.579159557894i</v>
      </c>
      <c r="P169" s="81">
        <f>20*LOG(IMABS(O169))</f>
        <v>43.949997375161516</v>
      </c>
      <c r="Q169" s="81">
        <f>IMARGUMENT(O169)*(180/PI())</f>
        <v>-89.871696221027705</v>
      </c>
      <c r="R169" s="81" t="str">
        <f>IMDIV(IMPRODUCT(O169,J169,COMPLEX(M169,0)),IMSUM(COMPLEX(1,0),IMPRODUCT(G169,O169,COMPLEX(M169,0),COMPLEX(N169,0))))</f>
        <v>19.9989554126479-0.141986801566885i</v>
      </c>
      <c r="S169" s="81">
        <f>20*LOG10(IMABS(R169))</f>
        <v>26.020365147411624</v>
      </c>
      <c r="T169" s="81">
        <f>IMARGUMENT(R169)*(180/PI())</f>
        <v>-0.40677663530569491</v>
      </c>
      <c r="U169" s="81" t="str">
        <f>IMPRODUCT(COMPLEX(-1,0),IMDIV(COMPLEX(1,C169*Calculations!$B$248*Calculations!$B$250),IMPRODUCT(COMPLEX(0,C169*Calculations!$B$237),COMPLEX((Calculations!$B$250+Calculations!$B$252),C169*Calculations!$B$248*Calculations!$B$250*Calculations!$B$252))))</f>
        <v>-1.4939381198432+96.3589166368173i</v>
      </c>
      <c r="V169" s="81">
        <f>20*LOG10(IMABS(U169))</f>
        <v>39.678881962565235</v>
      </c>
      <c r="W169" s="81">
        <f>IMARGUMENT(U169)*(180/PI())</f>
        <v>90.888236344016718</v>
      </c>
      <c r="X169" s="81">
        <f>Calculations!$B$216/(Calculations!$B$216+Calculations!$B$218)</f>
        <v>0.80079681274900394</v>
      </c>
      <c r="Y169" s="81" t="str">
        <f>IMPRODUCT(IMPRODUCT(U169,R169), COMPLEX(X169,0))</f>
        <v>-12.9693107646604+1543.36752662213i</v>
      </c>
      <c r="Z169" s="81">
        <f>20*LOG10(IMABS(Y169))</f>
        <v>63.769693828765881</v>
      </c>
      <c r="AA169" s="81">
        <f>IMARGUMENT(Y169)*(180/PI())</f>
        <v>90.481459708711014</v>
      </c>
      <c r="AB169" s="44"/>
      <c r="AC169" s="44"/>
      <c r="AD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c r="BI169" s="44"/>
      <c r="BJ169" s="44"/>
      <c r="BK169" s="44"/>
      <c r="BL169" s="44"/>
      <c r="BM169" s="44"/>
      <c r="BN169" s="44"/>
      <c r="BO169" s="44"/>
      <c r="BP169" s="44"/>
      <c r="BQ169" s="44"/>
      <c r="BR169" s="44"/>
      <c r="BS169" s="44"/>
      <c r="BT169" s="44"/>
      <c r="BU169" s="44"/>
      <c r="BV169" s="44"/>
      <c r="BW169" s="44"/>
      <c r="BX169" s="44"/>
      <c r="BY169" s="44"/>
      <c r="BZ169" s="44"/>
      <c r="CA169" s="44"/>
      <c r="CB169" s="44"/>
      <c r="CC169" s="44"/>
      <c r="CD169" s="44"/>
      <c r="CE169" s="44"/>
      <c r="CF169" s="44"/>
      <c r="CG169" s="44"/>
      <c r="CH169" s="44"/>
      <c r="CI169" s="44"/>
      <c r="CJ169" s="44"/>
      <c r="CK169" s="44"/>
      <c r="CL169" s="44"/>
      <c r="CM169" s="44"/>
      <c r="CN169" s="44"/>
      <c r="CO169" s="44"/>
      <c r="CP169" s="44"/>
    </row>
    <row r="170" spans="2:94">
      <c r="B170" s="1">
        <v>1.2915496650148839</v>
      </c>
      <c r="C170" s="1">
        <f t="shared" si="44"/>
        <v>8.1150458787142341</v>
      </c>
      <c r="D170" s="80" t="str">
        <f>IMDIV(COMPLEX((POWER(V48_Nom,2)/(V12_Min*Calculations!$B$28*np)),((Zo_Boost_Cout*Zo_Boost_Resr*POWER(V48_Nom,2))/(V12_Min*Calculations!$B$28*np))*C170),COMPLEX(1,((Zo_Boost_Cout*Zo_Boost_Resr)+((Zo_Boost_Cout*POWER(V48_Nom,2))/(V12_Min*Calculations!$B$28*np)))*C170))</f>
        <v>3.19922091764093-0.0498466651500384i</v>
      </c>
      <c r="E170" s="1">
        <f t="shared" si="45"/>
        <v>10.101938795539404</v>
      </c>
      <c r="F170" s="1">
        <f t="shared" si="46"/>
        <v>-0.89264621973335412</v>
      </c>
      <c r="G170" s="1" t="str">
        <f>IMDIV(IMSUM(COMPLEX(V48_Nom,0),IMPRODUCT(COMPLEX(np*(Calculations!$B$28*(V12_Min/V48_Nom)),0),D170)),IMSUM(IMPRODUCT(COMPLEX(((V12_Min/V48_Nom)^2),0),D170),COMPLEX(Rcs/np,(Lm*C170)/np)))</f>
        <v>478.804373925131+3.66594831899285i</v>
      </c>
      <c r="H170" s="1">
        <f t="shared" ref="H170:H228" si="50">20*LOG10(IMABS(G170))</f>
        <v>53.603416763710534</v>
      </c>
      <c r="I170" s="1">
        <f t="shared" ref="I170:I223" si="51">IMARGUMENT(G170)*(180/PI())</f>
        <v>0.43867448550207444</v>
      </c>
      <c r="J170" s="82" t="str">
        <f>IMPRODUCT(COMPLEX(-1,0),IMDIV(IMSUM(IMSUB(IMPRODUCT(COMPLEX((1-(V12_Min/V48_Nom))*V48_Nom,0),D170),IMPRODUCT(COMPLEX(V48_Nom,0),D170)),IMPRODUCT(COMPLEX(0,Calculations!$B$28*Lm*C170),D170)),IMSUM(IMPRODUCT(COMPLEX(((V12_Min/V48_Nom)^2),0),D170),COMPLEX(Rcs/np,(Lm*C170)/np))))</f>
        <v>191.521474588526-0.043919924597223i</v>
      </c>
      <c r="K170" s="81">
        <f t="shared" ref="K170:K228" si="52">20*LOG10(IMABS(J170))</f>
        <v>45.644349765490048</v>
      </c>
      <c r="L170" s="81">
        <f t="shared" ref="L170:L223" si="53">IMARGUMENT(J170)*(180/PI())</f>
        <v>-1.3139133756403394E-2</v>
      </c>
      <c r="M170" s="1">
        <f t="shared" si="47"/>
        <v>0.66666666666666663</v>
      </c>
      <c r="N170" s="81">
        <f t="shared" si="48"/>
        <v>0.02</v>
      </c>
      <c r="O170" s="81" t="str">
        <f t="shared" si="49"/>
        <v>0.352871286827548-122.007824521946i</v>
      </c>
      <c r="P170" s="81">
        <f t="shared" ref="P170:P228" si="54">20*LOG(IMABS(O170))</f>
        <v>41.727789996718194</v>
      </c>
      <c r="Q170" s="81">
        <f t="shared" ref="Q170:Q223" si="55">IMARGUMENT(O170)*(180/PI())</f>
        <v>-89.834289487968718</v>
      </c>
      <c r="R170" s="81" t="str">
        <f t="shared" ref="R170:R223" si="56">IMDIV(IMPRODUCT(O170,J170,COMPLEX(M170,0)),IMSUM(COMPLEX(1,0),IMPRODUCT(G170,O170,COMPLEX(M170,0),COMPLEX(N170,0))))</f>
        <v>19.9982575881658-0.183376287546255i</v>
      </c>
      <c r="S170" s="81">
        <f t="shared" ref="S170:S228" si="57">20*LOG10(IMABS(R170))</f>
        <v>26.020208307766982</v>
      </c>
      <c r="T170" s="81">
        <f t="shared" ref="T170:T223" si="58">IMARGUMENT(R170)*(180/PI())</f>
        <v>-0.52536541415977722</v>
      </c>
      <c r="U170" s="81" t="str">
        <f>IMPRODUCT(COMPLEX(-1,0),IMDIV(COMPLEX(1,C170*Calculations!$B$248*Calculations!$B$250),IMPRODUCT(COMPLEX(0,C170*Calculations!$B$237),COMPLEX((Calculations!$B$250+Calculations!$B$252),C170*Calculations!$B$248*Calculations!$B$250*Calculations!$B$252))))</f>
        <v>-1.49393811764012+74.6072459613881i</v>
      </c>
      <c r="V170" s="81">
        <f t="shared" ref="V170:V228" si="59">20*LOG10(IMABS(U170))</f>
        <v>37.457361183083002</v>
      </c>
      <c r="W170" s="81">
        <f t="shared" ref="W170:W224" si="60">IMARGUMENT(U170)*(180/PI())</f>
        <v>91.147139401128427</v>
      </c>
      <c r="X170" s="81">
        <f>Calculations!$B$216/(Calculations!$B$216+Calculations!$B$218)</f>
        <v>0.80079681274900394</v>
      </c>
      <c r="Y170" s="81" t="str">
        <f t="shared" ref="Y170:Y228" si="61">IMPRODUCT(IMPRODUCT(U170,R170), COMPLEX(X170,0))</f>
        <v>-12.9688719573239+1195.02017520546i</v>
      </c>
      <c r="Z170" s="81">
        <f t="shared" ref="Z170:Z228" si="62">20*LOG10(IMABS(Y170))</f>
        <v>61.548016209639044</v>
      </c>
      <c r="AA170" s="81">
        <f t="shared" ref="AA170:AA224" si="63">IMARGUMENT(Y170)*(180/PI())</f>
        <v>90.621773986968648</v>
      </c>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c r="BG170" s="44"/>
      <c r="BH170" s="44"/>
      <c r="BI170" s="44"/>
      <c r="BJ170" s="44"/>
      <c r="BK170" s="44"/>
      <c r="BL170" s="44"/>
      <c r="BM170" s="44"/>
      <c r="BN170" s="44"/>
      <c r="BO170" s="44"/>
      <c r="BP170" s="44"/>
      <c r="BQ170" s="44"/>
      <c r="BR170" s="44"/>
      <c r="BS170" s="44"/>
      <c r="BT170" s="44"/>
      <c r="BU170" s="44"/>
      <c r="BV170" s="44"/>
      <c r="BW170" s="44"/>
      <c r="BX170" s="44"/>
      <c r="BY170" s="44"/>
      <c r="BZ170" s="44"/>
      <c r="CA170" s="44"/>
      <c r="CB170" s="44"/>
      <c r="CC170" s="44"/>
      <c r="CD170" s="44"/>
      <c r="CE170" s="44"/>
      <c r="CF170" s="44"/>
      <c r="CG170" s="44"/>
      <c r="CH170" s="44"/>
      <c r="CI170" s="44"/>
      <c r="CJ170" s="44"/>
      <c r="CK170" s="44"/>
      <c r="CL170" s="44"/>
      <c r="CM170" s="44"/>
      <c r="CN170" s="44"/>
      <c r="CO170" s="44"/>
      <c r="CP170" s="44"/>
    </row>
    <row r="171" spans="2:94">
      <c r="B171" s="1">
        <v>1.6681005372000588</v>
      </c>
      <c r="C171" s="1">
        <f t="shared" si="44"/>
        <v>10.480984786233785</v>
      </c>
      <c r="D171" s="80" t="str">
        <f>IMDIV(COMPLEX((POWER(V48_Nom,2)/(V12_Min*Calculations!$B$28*np)),((Zo_Boost_Cout*Zo_Boost_Resr*POWER(V48_Nom,2))/(V12_Min*Calculations!$B$28*np))*C171),COMPLEX(1,((Zo_Boost_Cout*Zo_Boost_Resr)+((Zo_Boost_Cout*POWER(V48_Nom,2))/(V12_Min*Calculations!$B$28*np)))*C171))</f>
        <v>3.19870062431254-0.0643689408395209i</v>
      </c>
      <c r="E171" s="1">
        <f t="shared" si="45"/>
        <v>10.101230238309499</v>
      </c>
      <c r="F171" s="1">
        <f t="shared" si="46"/>
        <v>-1.152834029603139</v>
      </c>
      <c r="G171" s="1" t="str">
        <f>IMDIV(IMSUM(COMPLEX(V48_Nom,0),IMPRODUCT(COMPLEX(np*(Calculations!$B$28*(V12_Min/V48_Nom)),0),D171)),IMSUM(IMPRODUCT(COMPLEX(((V12_Min/V48_Nom)^2),0),D171),COMPLEX(Rcs/np,(Lm*C171)/np)))</f>
        <v>478.805296846853+4.73475880816215i</v>
      </c>
      <c r="H171" s="1">
        <f t="shared" si="50"/>
        <v>53.603603583582178</v>
      </c>
      <c r="I171" s="1">
        <f t="shared" si="51"/>
        <v>0.56656193338839722</v>
      </c>
      <c r="J171" s="82" t="str">
        <f>IMPRODUCT(COMPLEX(-1,0),IMDIV(IMSUM(IMSUB(IMPRODUCT(COMPLEX((1-(V12_Min/V48_Nom))*V48_Nom,0),D171),IMPRODUCT(COMPLEX(V48_Nom,0),D171)),IMPRODUCT(COMPLEX(0,Calculations!$B$28*Lm*C171),D171)),IMSUM(IMPRODUCT(COMPLEX(((V12_Min/V48_Nom)^2),0),D171),COMPLEX(Rcs/np,(Lm*C171)/np))))</f>
        <v>191.521660041003-0.0567248639906932i</v>
      </c>
      <c r="K171" s="81">
        <f t="shared" si="52"/>
        <v>45.644358328720671</v>
      </c>
      <c r="L171" s="81">
        <f t="shared" si="53"/>
        <v>-1.6969857113754167E-2</v>
      </c>
      <c r="M171" s="1">
        <f t="shared" si="47"/>
        <v>0.66666666666666663</v>
      </c>
      <c r="N171" s="81">
        <f t="shared" si="48"/>
        <v>0.02</v>
      </c>
      <c r="O171" s="81" t="str">
        <f t="shared" si="49"/>
        <v>0.35287128662634-94.4662328628923i</v>
      </c>
      <c r="P171" s="81">
        <f t="shared" si="54"/>
        <v>39.505592535298391</v>
      </c>
      <c r="Q171" s="81">
        <f t="shared" si="55"/>
        <v>-89.78597705458921</v>
      </c>
      <c r="R171" s="81" t="str">
        <f t="shared" si="56"/>
        <v>19.9970936624225-0.236825109725442i</v>
      </c>
      <c r="S171" s="81">
        <f t="shared" si="57"/>
        <v>26.019946696942341</v>
      </c>
      <c r="T171" s="81">
        <f t="shared" si="58"/>
        <v>-0.67852084759992226</v>
      </c>
      <c r="U171" s="81" t="str">
        <f>IMPRODUCT(COMPLEX(-1,0),IMDIV(COMPLEX(1,C171*Calculations!$B$248*Calculations!$B$250),IMPRODUCT(COMPLEX(0,C171*Calculations!$B$237),COMPLEX((Calculations!$B$250+Calculations!$B$252),C171*Calculations!$B$248*Calculations!$B$250*Calculations!$B$252))))</f>
        <v>-1.49393811396517+57.7657279050576i</v>
      </c>
      <c r="V171" s="81">
        <f t="shared" si="59"/>
        <v>35.236308785813847</v>
      </c>
      <c r="W171" s="81">
        <f t="shared" si="60"/>
        <v>91.48145407342291</v>
      </c>
      <c r="X171" s="81">
        <f>Calculations!$B$216/(Calculations!$B$216+Calculations!$B$218)</f>
        <v>0.80079681274900394</v>
      </c>
      <c r="Y171" s="81" t="str">
        <f t="shared" si="61"/>
        <v>-12.9681400550165+925.321096271296i</v>
      </c>
      <c r="Z171" s="81">
        <f t="shared" si="62"/>
        <v>59.326702201545189</v>
      </c>
      <c r="AA171" s="81">
        <f t="shared" si="63"/>
        <v>90.802933225822997</v>
      </c>
      <c r="AB171" s="44"/>
      <c r="AC171" s="44"/>
      <c r="AD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c r="BH171" s="44"/>
      <c r="BI171" s="44"/>
      <c r="BJ171" s="44"/>
      <c r="BK171" s="44"/>
      <c r="BL171" s="44"/>
      <c r="BM171" s="44"/>
      <c r="BN171" s="44"/>
      <c r="BO171" s="44"/>
      <c r="BP171" s="44"/>
      <c r="BQ171" s="44"/>
      <c r="BR171" s="44"/>
      <c r="BS171" s="44"/>
      <c r="BT171" s="44"/>
      <c r="BU171" s="44"/>
      <c r="BV171" s="44"/>
      <c r="BW171" s="44"/>
      <c r="BX171" s="44"/>
      <c r="BY171" s="44"/>
      <c r="BZ171" s="44"/>
      <c r="CA171" s="44"/>
      <c r="CB171" s="44"/>
      <c r="CC171" s="44"/>
      <c r="CD171" s="44"/>
      <c r="CE171" s="44"/>
      <c r="CF171" s="44"/>
      <c r="CG171" s="44"/>
      <c r="CH171" s="44"/>
      <c r="CI171" s="44"/>
      <c r="CJ171" s="44"/>
      <c r="CK171" s="44"/>
      <c r="CL171" s="44"/>
      <c r="CM171" s="44"/>
      <c r="CN171" s="44"/>
      <c r="CO171" s="44"/>
      <c r="CP171" s="44"/>
    </row>
    <row r="172" spans="2:94">
      <c r="B172" s="1">
        <v>2.1544346900318838</v>
      </c>
      <c r="C172" s="1">
        <f t="shared" si="44"/>
        <v>13.536712389686338</v>
      </c>
      <c r="D172" s="80" t="str">
        <f>IMDIV(COMPLEX((POWER(V48_Nom,2)/(V12_Min*Calculations!$B$28*np)),((Zo_Boost_Cout*Zo_Boost_Resr*POWER(V48_Nom,2))/(V12_Min*Calculations!$B$28*np))*C172),COMPLEX(1,((Zo_Boost_Cout*Zo_Boost_Resr)+((Zo_Boost_Cout*POWER(V48_Nom,2))/(V12_Min*Calculations!$B$28*np)))*C172))</f>
        <v>3.19783310040319-0.0831130661485441i</v>
      </c>
      <c r="E172" s="1">
        <f t="shared" si="45"/>
        <v>10.100048550810728</v>
      </c>
      <c r="F172" s="1">
        <f t="shared" si="46"/>
        <v>-1.4888069337981831</v>
      </c>
      <c r="G172" s="1" t="str">
        <f>IMDIV(IMSUM(COMPLEX(V48_Nom,0),IMPRODUCT(COMPLEX(np*(Calculations!$B$28*(V12_Min/V48_Nom)),0),D172)),IMSUM(IMPRODUCT(COMPLEX(((V12_Min/V48_Nom)^2),0),D172),COMPLEX(Rcs/np,(Lm*C172)/np)))</f>
        <v>478.806836379041+6.11518581485151i</v>
      </c>
      <c r="H172" s="1">
        <f t="shared" si="50"/>
        <v>53.603915201641797</v>
      </c>
      <c r="I172" s="1">
        <f t="shared" si="51"/>
        <v>0.73172574560310033</v>
      </c>
      <c r="J172" s="82" t="str">
        <f>IMPRODUCT(COMPLEX(-1,0),IMDIV(IMSUM(IMSUB(IMPRODUCT(COMPLEX((1-(V12_Min/V48_Nom))*V48_Nom,0),D172),IMPRODUCT(COMPLEX(V48_Nom,0),D172)),IMPRODUCT(COMPLEX(0,Calculations!$B$28*Lm*C172),D172)),IMSUM(IMPRODUCT(COMPLEX(((V12_Min/V48_Nom)^2),0),D172),COMPLEX(Rcs/np,(Lm*C172)/np))))</f>
        <v>191.521969395157-0.0732631947226878i</v>
      </c>
      <c r="K172" s="81">
        <f t="shared" si="52"/>
        <v>45.644372613068469</v>
      </c>
      <c r="L172" s="81">
        <f t="shared" si="53"/>
        <v>-2.191744195072132E-2</v>
      </c>
      <c r="M172" s="1">
        <f t="shared" si="47"/>
        <v>0.66666666666666663</v>
      </c>
      <c r="N172" s="81">
        <f t="shared" si="48"/>
        <v>0.02</v>
      </c>
      <c r="O172" s="81" t="str">
        <f t="shared" si="49"/>
        <v>0.352871286290707-73.1417802327777i</v>
      </c>
      <c r="P172" s="81">
        <f t="shared" si="54"/>
        <v>37.283411616269916</v>
      </c>
      <c r="Q172" s="81">
        <f t="shared" si="55"/>
        <v>-89.723579621782505</v>
      </c>
      <c r="R172" s="81" t="str">
        <f t="shared" si="56"/>
        <v>19.9951524390038-0.305840215129911i</v>
      </c>
      <c r="S172" s="81">
        <f t="shared" si="57"/>
        <v>26.019510341264009</v>
      </c>
      <c r="T172" s="81">
        <f t="shared" si="58"/>
        <v>-0.87631175583814991</v>
      </c>
      <c r="U172" s="81" t="str">
        <f>IMPRODUCT(COMPLEX(-1,0),IMDIV(COMPLEX(1,C172*Calculations!$B$248*Calculations!$B$250),IMPRODUCT(COMPLEX(0,C172*Calculations!$B$237),COMPLEX((Calculations!$B$250+Calculations!$B$252),C172*Calculations!$B$248*Calculations!$B$250*Calculations!$B$252))))</f>
        <v>-1.493938107835+44.7259657842557i</v>
      </c>
      <c r="V172" s="81">
        <f t="shared" si="59"/>
        <v>33.016037248268326</v>
      </c>
      <c r="W172" s="81">
        <f t="shared" si="60"/>
        <v>91.913084157400803</v>
      </c>
      <c r="X172" s="81">
        <f>Calculations!$B$216/(Calculations!$B$216+Calculations!$B$218)</f>
        <v>0.80079681274900394</v>
      </c>
      <c r="Y172" s="81" t="str">
        <f t="shared" si="61"/>
        <v>-12.9669193699316+716.520483857453i</v>
      </c>
      <c r="Z172" s="81">
        <f t="shared" si="62"/>
        <v>57.105994308321357</v>
      </c>
      <c r="AA172" s="81">
        <f t="shared" si="63"/>
        <v>91.036772401562658</v>
      </c>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c r="BG172" s="44"/>
      <c r="BH172" s="44"/>
      <c r="BI172" s="44"/>
      <c r="BJ172" s="44"/>
      <c r="BK172" s="44"/>
      <c r="BL172" s="44"/>
      <c r="BM172" s="44"/>
      <c r="BN172" s="44"/>
      <c r="BO172" s="44"/>
      <c r="BP172" s="44"/>
      <c r="BQ172" s="44"/>
      <c r="BR172" s="44"/>
      <c r="BS172" s="44"/>
      <c r="BT172" s="44"/>
      <c r="BU172" s="44"/>
      <c r="BV172" s="44"/>
      <c r="BW172" s="44"/>
      <c r="BX172" s="44"/>
      <c r="BY172" s="44"/>
      <c r="BZ172" s="44"/>
      <c r="CA172" s="44"/>
      <c r="CB172" s="44"/>
      <c r="CC172" s="44"/>
      <c r="CD172" s="44"/>
      <c r="CE172" s="44"/>
      <c r="CF172" s="44"/>
      <c r="CG172" s="44"/>
      <c r="CH172" s="44"/>
      <c r="CI172" s="44"/>
      <c r="CJ172" s="44"/>
      <c r="CK172" s="44"/>
      <c r="CL172" s="44"/>
      <c r="CM172" s="44"/>
      <c r="CN172" s="44"/>
      <c r="CO172" s="44"/>
      <c r="CP172" s="44"/>
    </row>
    <row r="173" spans="2:94">
      <c r="B173" s="1">
        <v>2.7825594022071245</v>
      </c>
      <c r="C173" s="1">
        <f t="shared" si="44"/>
        <v>17.483336352302217</v>
      </c>
      <c r="D173" s="80" t="str">
        <f>IMDIV(COMPLEX((POWER(V48_Nom,2)/(V12_Min*Calculations!$B$28*np)),((Zo_Boost_Cout*Zo_Boost_Resr*POWER(V48_Nom,2))/(V12_Min*Calculations!$B$28*np))*C173),COMPLEX(1,((Zo_Boost_Cout*Zo_Boost_Resr)+((Zo_Boost_Cout*POWER(V48_Nom,2))/(V12_Min*Calculations!$B$28*np)))*C173))</f>
        <v>3.19638703326283-0.107295959459893i</v>
      </c>
      <c r="E173" s="1">
        <f t="shared" si="45"/>
        <v>10.098078092501318</v>
      </c>
      <c r="F173" s="1">
        <f t="shared" si="46"/>
        <v>-1.9225763603797363</v>
      </c>
      <c r="G173" s="1" t="str">
        <f>IMDIV(IMSUM(COMPLEX(V48_Nom,0),IMPRODUCT(COMPLEX(np*(Calculations!$B$28*(V12_Min/V48_Nom)),0),D173)),IMSUM(IMPRODUCT(COMPLEX(((V12_Min/V48_Nom)^2),0),D173),COMPLEX(Rcs/np,(Lm*C173)/np)))</f>
        <v>478.809404490107+7.89808700743288i</v>
      </c>
      <c r="H173" s="1">
        <f t="shared" si="50"/>
        <v>53.604434966632624</v>
      </c>
      <c r="I173" s="1">
        <f t="shared" si="51"/>
        <v>0.94502324088875955</v>
      </c>
      <c r="J173" s="82" t="str">
        <f>IMPRODUCT(COMPLEX(-1,0),IMDIV(IMSUM(IMSUB(IMPRODUCT(COMPLEX((1-(V12_Min/V48_Nom))*V48_Nom,0),D173),IMPRODUCT(COMPLEX(V48_Nom,0),D173)),IMPRODUCT(COMPLEX(0,Calculations!$B$28*Lm*C173),D173)),IMSUM(IMPRODUCT(COMPLEX(((V12_Min/V48_Nom)^2),0),D173),COMPLEX(Rcs/np,(Lm*C173)/np))))</f>
        <v>191.522485431158-0.0946235191815774i</v>
      </c>
      <c r="K173" s="81">
        <f t="shared" si="52"/>
        <v>45.6443964408477</v>
      </c>
      <c r="L173" s="81">
        <f t="shared" si="53"/>
        <v>-2.8307526599042437E-2</v>
      </c>
      <c r="M173" s="1">
        <f t="shared" si="47"/>
        <v>0.66666666666666663</v>
      </c>
      <c r="N173" s="81">
        <f t="shared" si="48"/>
        <v>0.02</v>
      </c>
      <c r="O173" s="81" t="str">
        <f t="shared" si="49"/>
        <v>0.352871285730833-56.6310330162277i</v>
      </c>
      <c r="P173" s="81">
        <f t="shared" si="54"/>
        <v>35.061258291053022</v>
      </c>
      <c r="Q173" s="81">
        <f t="shared" si="55"/>
        <v>-89.642991260258242</v>
      </c>
      <c r="R173" s="81" t="str">
        <f t="shared" si="56"/>
        <v>19.9919151781306-0.394940679373014i</v>
      </c>
      <c r="S173" s="81">
        <f t="shared" si="57"/>
        <v>26.018782560386256</v>
      </c>
      <c r="T173" s="81">
        <f t="shared" si="58"/>
        <v>-1.1317320481781523</v>
      </c>
      <c r="U173" s="81" t="str">
        <f>IMPRODUCT(COMPLEX(-1,0),IMDIV(COMPLEX(1,C173*Calculations!$B$248*Calculations!$B$250),IMPRODUCT(COMPLEX(0,C173*Calculations!$B$237),COMPLEX((Calculations!$B$250+Calculations!$B$252),C173*Calculations!$B$248*Calculations!$B$250*Calculations!$B$252))))</f>
        <v>-1.49393809760924+34.6297692006518i</v>
      </c>
      <c r="V173" s="81">
        <f t="shared" si="59"/>
        <v>30.797067015658598</v>
      </c>
      <c r="W173" s="81">
        <f t="shared" si="60"/>
        <v>92.470224560219251</v>
      </c>
      <c r="X173" s="81">
        <f>Calculations!$B$216/(Calculations!$B$216+Calculations!$B$218)</f>
        <v>0.80079681274900394</v>
      </c>
      <c r="Y173" s="81" t="str">
        <f t="shared" si="61"/>
        <v>-12.9648837051126+554.876456216737i</v>
      </c>
      <c r="Z173" s="81">
        <f t="shared" si="62"/>
        <v>54.886296294833855</v>
      </c>
      <c r="AA173" s="81">
        <f t="shared" si="63"/>
        <v>91.338492512041114</v>
      </c>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c r="BH173" s="44"/>
      <c r="BI173" s="44"/>
      <c r="BJ173" s="44"/>
      <c r="BK173" s="44"/>
      <c r="BL173" s="44"/>
      <c r="BM173" s="44"/>
      <c r="BN173" s="44"/>
      <c r="BO173" s="44"/>
      <c r="BP173" s="44"/>
      <c r="BQ173" s="44"/>
      <c r="BR173" s="44"/>
      <c r="BS173" s="44"/>
      <c r="BT173" s="44"/>
      <c r="BU173" s="44"/>
      <c r="BV173" s="44"/>
      <c r="BW173" s="44"/>
      <c r="BX173" s="44"/>
      <c r="BY173" s="44"/>
      <c r="BZ173" s="44"/>
      <c r="CA173" s="44"/>
      <c r="CB173" s="44"/>
      <c r="CC173" s="44"/>
      <c r="CD173" s="44"/>
      <c r="CE173" s="44"/>
      <c r="CF173" s="44"/>
      <c r="CG173" s="44"/>
      <c r="CH173" s="44"/>
      <c r="CI173" s="44"/>
      <c r="CJ173" s="44"/>
      <c r="CK173" s="44"/>
      <c r="CL173" s="44"/>
      <c r="CM173" s="44"/>
      <c r="CN173" s="44"/>
      <c r="CO173" s="44"/>
      <c r="CP173" s="44"/>
    </row>
    <row r="174" spans="2:94">
      <c r="B174" s="1">
        <v>3.5938136638046281</v>
      </c>
      <c r="C174" s="1">
        <f t="shared" si="44"/>
        <v>22.580597209158476</v>
      </c>
      <c r="D174" s="80" t="str">
        <f>IMDIV(COMPLEX((POWER(V48_Nom,2)/(V12_Min*Calculations!$B$28*np)),((Zo_Boost_Cout*Zo_Boost_Resr*POWER(V48_Nom,2))/(V12_Min*Calculations!$B$28*np))*C174),COMPLEX(1,((Zo_Boost_Cout*Zo_Boost_Resr)+((Zo_Boost_Cout*POWER(V48_Nom,2))/(V12_Min*Calculations!$B$28*np)))*C174))</f>
        <v>3.19397776513487-0.138473280872317i</v>
      </c>
      <c r="E174" s="1">
        <f t="shared" si="45"/>
        <v>10.094793158174696</v>
      </c>
      <c r="F174" s="1">
        <f t="shared" si="46"/>
        <v>-2.4824747837678705</v>
      </c>
      <c r="G174" s="1" t="str">
        <f>IMDIV(IMSUM(COMPLEX(V48_Nom,0),IMPRODUCT(COMPLEX(np*(Calculations!$B$28*(V12_Min/V48_Nom)),0),D174)),IMSUM(IMPRODUCT(COMPLEX(((V12_Min/V48_Nom)^2),0),D174),COMPLEX(Rcs/np,(Lm*C174)/np)))</f>
        <v>478.813688403753+10.2008164773607i</v>
      </c>
      <c r="H174" s="1">
        <f t="shared" si="50"/>
        <v>53.605301860981001</v>
      </c>
      <c r="I174" s="1">
        <f t="shared" si="51"/>
        <v>1.2204649645016556</v>
      </c>
      <c r="J174" s="82" t="str">
        <f>IMPRODUCT(COMPLEX(-1,0),IMDIV(IMSUM(IMSUB(IMPRODUCT(COMPLEX((1-(V12_Min/V48_Nom))*V48_Nom,0),D174),IMPRODUCT(COMPLEX(V48_Nom,0),D174)),IMPRODUCT(COMPLEX(0,Calculations!$B$28*Lm*C174),D174)),IMSUM(IMPRODUCT(COMPLEX(((V12_Min/V48_Nom)^2),0),D174),COMPLEX(Rcs/np,(Lm*C174)/np))))</f>
        <v>191.52334623711-0.122211975418287i</v>
      </c>
      <c r="K174" s="81">
        <f t="shared" si="52"/>
        <v>45.644436188120075</v>
      </c>
      <c r="L174" s="81">
        <f t="shared" si="53"/>
        <v>-3.6560709619032489E-2</v>
      </c>
      <c r="M174" s="1">
        <f t="shared" si="47"/>
        <v>0.66666666666666663</v>
      </c>
      <c r="N174" s="81">
        <f t="shared" si="48"/>
        <v>0.02</v>
      </c>
      <c r="O174" s="81" t="str">
        <f t="shared" si="49"/>
        <v>0.352871284796908-43.8473636659589i</v>
      </c>
      <c r="P174" s="81">
        <f t="shared" si="54"/>
        <v>32.839150993529692</v>
      </c>
      <c r="Q174" s="81">
        <f t="shared" si="55"/>
        <v>-89.538909590501319</v>
      </c>
      <c r="R174" s="81" t="str">
        <f t="shared" si="56"/>
        <v>19.9865175903771-0.509940903046179i</v>
      </c>
      <c r="S174" s="81">
        <f t="shared" si="57"/>
        <v>26.017568838721388</v>
      </c>
      <c r="T174" s="81">
        <f t="shared" si="58"/>
        <v>-1.4615414579637858</v>
      </c>
      <c r="U174" s="81" t="str">
        <f>IMPRODUCT(COMPLEX(-1,0),IMDIV(COMPLEX(1,C174*Calculations!$B$248*Calculations!$B$250),IMPRODUCT(COMPLEX(0,C174*Calculations!$B$237),COMPLEX((Calculations!$B$250+Calculations!$B$252),C174*Calculations!$B$248*Calculations!$B$250*Calculations!$B$252))))</f>
        <v>-1.49393808055166+26.8126736580813i</v>
      </c>
      <c r="V174" s="81">
        <f t="shared" si="59"/>
        <v>28.580264025949074</v>
      </c>
      <c r="W174" s="81">
        <f t="shared" si="60"/>
        <v>93.189086474564846</v>
      </c>
      <c r="X174" s="81">
        <f>Calculations!$B$216/(Calculations!$B$216+Calculations!$B$218)</f>
        <v>0.80079681274900394</v>
      </c>
      <c r="Y174" s="81" t="str">
        <f t="shared" si="61"/>
        <v>-12.9614895706243+429.750647661677i</v>
      </c>
      <c r="Z174" s="81">
        <f t="shared" si="62"/>
        <v>52.668279583459466</v>
      </c>
      <c r="AA174" s="81">
        <f t="shared" si="63"/>
        <v>91.72754501660107</v>
      </c>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c r="BH174" s="44"/>
      <c r="BI174" s="44"/>
      <c r="BJ174" s="44"/>
      <c r="BK174" s="44"/>
      <c r="BL174" s="44"/>
      <c r="BM174" s="44"/>
      <c r="BN174" s="44"/>
      <c r="BO174" s="44"/>
      <c r="BP174" s="44"/>
      <c r="BQ174" s="44"/>
      <c r="BR174" s="44"/>
      <c r="BS174" s="44"/>
      <c r="BT174" s="44"/>
      <c r="BU174" s="44"/>
      <c r="BV174" s="44"/>
      <c r="BW174" s="44"/>
      <c r="BX174" s="44"/>
      <c r="BY174" s="44"/>
      <c r="BZ174" s="44"/>
      <c r="CA174" s="44"/>
      <c r="CB174" s="44"/>
      <c r="CC174" s="44"/>
      <c r="CD174" s="44"/>
      <c r="CE174" s="44"/>
      <c r="CF174" s="44"/>
      <c r="CG174" s="44"/>
      <c r="CH174" s="44"/>
      <c r="CI174" s="44"/>
      <c r="CJ174" s="44"/>
      <c r="CK174" s="44"/>
      <c r="CL174" s="44"/>
      <c r="CM174" s="44"/>
      <c r="CN174" s="44"/>
      <c r="CO174" s="44"/>
      <c r="CP174" s="44"/>
    </row>
    <row r="175" spans="2:94">
      <c r="B175" s="1">
        <v>4.6415888336127793</v>
      </c>
      <c r="C175" s="1">
        <f t="shared" si="44"/>
        <v>29.163962761324647</v>
      </c>
      <c r="D175" s="80" t="str">
        <f>IMDIV(COMPLEX((POWER(V48_Nom,2)/(V12_Min*Calculations!$B$28*np)),((Zo_Boost_Cout*Zo_Boost_Resr*POWER(V48_Nom,2))/(V12_Min*Calculations!$B$28*np))*C175),COMPLEX(1,((Zo_Boost_Cout*Zo_Boost_Resr)+((Zo_Boost_Cout*POWER(V48_Nom,2))/(V12_Min*Calculations!$B$28*np)))*C175))</f>
        <v>3.18996696105596-0.178619833492172i</v>
      </c>
      <c r="E175" s="1">
        <f t="shared" si="45"/>
        <v>10.089319080744609</v>
      </c>
      <c r="F175" s="1">
        <f t="shared" si="46"/>
        <v>-3.2048879753330577</v>
      </c>
      <c r="G175" s="1" t="str">
        <f>IMDIV(IMSUM(COMPLEX(V48_Nom,0),IMPRODUCT(COMPLEX(np*(Calculations!$B$28*(V12_Min/V48_Nom)),0),D175)),IMSUM(IMPRODUCT(COMPLEX(((V12_Min/V48_Nom)^2),0),D175),COMPLEX(Rcs/np,(Lm*C175)/np)))</f>
        <v>478.820834530933+13.1749577288101i</v>
      </c>
      <c r="H175" s="1">
        <f t="shared" si="50"/>
        <v>53.606747577696552</v>
      </c>
      <c r="I175" s="1">
        <f t="shared" si="51"/>
        <v>1.5761199214331172</v>
      </c>
      <c r="J175" s="82" t="str">
        <f>IMPRODUCT(COMPLEX(-1,0),IMDIV(IMSUM(IMSUB(IMPRODUCT(COMPLEX((1-(V12_Min/V48_Nom))*V48_Nom,0),D175),IMPRODUCT(COMPLEX(V48_Nom,0),D175)),IMPRODUCT(COMPLEX(0,Calculations!$B$28*Lm*C175),D175)),IMSUM(IMPRODUCT(COMPLEX(((V12_Min/V48_Nom)^2),0),D175),COMPLEX(Rcs/np,(Lm*C175)/np))))</f>
        <v>191.524782164727-0.157844992360072i</v>
      </c>
      <c r="K175" s="81">
        <f t="shared" si="52"/>
        <v>45.644502490958516</v>
      </c>
      <c r="L175" s="81">
        <f t="shared" si="53"/>
        <v>-4.7220259068798877E-2</v>
      </c>
      <c r="M175" s="1">
        <f t="shared" si="47"/>
        <v>0.66666666666666663</v>
      </c>
      <c r="N175" s="81">
        <f t="shared" si="48"/>
        <v>0.02</v>
      </c>
      <c r="O175" s="81" t="str">
        <f t="shared" si="49"/>
        <v>0.35287128323903-33.9494361061915i</v>
      </c>
      <c r="P175" s="81">
        <f t="shared" si="54"/>
        <v>30.617120470490789</v>
      </c>
      <c r="Q175" s="81">
        <f t="shared" si="55"/>
        <v>-89.404487687668947</v>
      </c>
      <c r="R175" s="81" t="str">
        <f t="shared" si="56"/>
        <v>19.9775207901647-0.658302713527347i</v>
      </c>
      <c r="S175" s="81">
        <f t="shared" si="57"/>
        <v>26.015545035414274</v>
      </c>
      <c r="T175" s="81">
        <f t="shared" si="58"/>
        <v>-1.8873374953143578</v>
      </c>
      <c r="U175" s="81" t="str">
        <f>IMPRODUCT(COMPLEX(-1,0),IMDIV(COMPLEX(1,C175*Calculations!$B$248*Calculations!$B$250),IMPRODUCT(COMPLEX(0,C175*Calculations!$B$237),COMPLEX((Calculations!$B$250+Calculations!$B$252),C175*Calculations!$B$248*Calculations!$B$250*Calculations!$B$252))))</f>
        <v>-1.4939380520979+20.7602099296258i</v>
      </c>
      <c r="V175" s="81">
        <f t="shared" si="59"/>
        <v>26.367066606966127</v>
      </c>
      <c r="W175" s="81">
        <f t="shared" si="60"/>
        <v>94.116001241644867</v>
      </c>
      <c r="X175" s="81">
        <f>Calculations!$B$216/(Calculations!$B$216+Calculations!$B$218)</f>
        <v>0.80079681274900394</v>
      </c>
      <c r="Y175" s="81" t="str">
        <f t="shared" si="61"/>
        <v>-12.955832147218+332.908042944681i</v>
      </c>
      <c r="Z175" s="81">
        <f t="shared" si="62"/>
        <v>50.453058361169411</v>
      </c>
      <c r="AA175" s="81">
        <f t="shared" si="63"/>
        <v>92.228663746330511</v>
      </c>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c r="BN175" s="44"/>
      <c r="BO175" s="44"/>
      <c r="BP175" s="44"/>
      <c r="BQ175" s="44"/>
      <c r="BR175" s="44"/>
      <c r="BS175" s="44"/>
      <c r="BT175" s="44"/>
      <c r="BU175" s="44"/>
      <c r="BV175" s="44"/>
      <c r="BW175" s="44"/>
      <c r="BX175" s="44"/>
      <c r="BY175" s="44"/>
      <c r="BZ175" s="44"/>
      <c r="CA175" s="44"/>
      <c r="CB175" s="44"/>
      <c r="CC175" s="44"/>
      <c r="CD175" s="44"/>
      <c r="CE175" s="44"/>
      <c r="CF175" s="44"/>
      <c r="CG175" s="44"/>
      <c r="CH175" s="44"/>
      <c r="CI175" s="44"/>
      <c r="CJ175" s="44"/>
      <c r="CK175" s="44"/>
      <c r="CL175" s="44"/>
      <c r="CM175" s="44"/>
      <c r="CN175" s="44"/>
      <c r="CO175" s="44"/>
      <c r="CP175" s="44"/>
    </row>
    <row r="176" spans="2:94">
      <c r="B176" s="1">
        <v>5.9948425031894104</v>
      </c>
      <c r="C176" s="1">
        <f t="shared" si="44"/>
        <v>37.666706334895395</v>
      </c>
      <c r="D176" s="80" t="str">
        <f>IMDIV(COMPLEX((POWER(V48_Nom,2)/(V12_Min*Calculations!$B$28*np)),((Zo_Boost_Cout*Zo_Boost_Resr*POWER(V48_Nom,2))/(V12_Min*Calculations!$B$28*np))*C176),COMPLEX(1,((Zo_Boost_Cout*Zo_Boost_Resr)+((Zo_Boost_Cout*POWER(V48_Nom,2))/(V12_Min*Calculations!$B$28*np)))*C176))</f>
        <v>3.18329897551021-0.230212649922986i</v>
      </c>
      <c r="E176" s="1">
        <f t="shared" si="45"/>
        <v>10.080203095992605</v>
      </c>
      <c r="F176" s="1">
        <f t="shared" si="46"/>
        <v>-4.1363661371079568</v>
      </c>
      <c r="G176" s="1" t="str">
        <f>IMDIV(IMSUM(COMPLEX(V48_Nom,0),IMPRODUCT(COMPLEX(np*(Calculations!$B$28*(V12_Min/V48_Nom)),0),D176)),IMSUM(IMPRODUCT(COMPLEX(((V12_Min/V48_Nom)^2),0),D176),COMPLEX(Rcs/np,(Lm*C176)/np)))</f>
        <v>478.832755347181+17.0163204165799i</v>
      </c>
      <c r="H176" s="1">
        <f t="shared" si="50"/>
        <v>53.609158204714014</v>
      </c>
      <c r="I176" s="1">
        <f t="shared" si="51"/>
        <v>2.035268516057263</v>
      </c>
      <c r="J176" s="82" t="str">
        <f>IMPRODUCT(COMPLEX(-1,0),IMDIV(IMSUM(IMSUB(IMPRODUCT(COMPLEX((1-(V12_Min/V48_Nom))*V48_Nom,0),D176),IMPRODUCT(COMPLEX(V48_Nom,0),D176)),IMPRODUCT(COMPLEX(0,Calculations!$B$28*Lm*C176),D176)),IMSUM(IMPRODUCT(COMPLEX(((V12_Min/V48_Nom)^2),0),D176),COMPLEX(Rcs/np,(Lm*C176)/np))))</f>
        <v>191.527177482986-0.203869293067197i</v>
      </c>
      <c r="K176" s="81">
        <f t="shared" si="52"/>
        <v>45.644613091851255</v>
      </c>
      <c r="L176" s="81">
        <f t="shared" si="53"/>
        <v>-6.0987927702886524E-2</v>
      </c>
      <c r="M176" s="1">
        <f t="shared" si="47"/>
        <v>0.66666666666666663</v>
      </c>
      <c r="N176" s="81">
        <f t="shared" si="48"/>
        <v>0.02</v>
      </c>
      <c r="O176" s="81" t="str">
        <f t="shared" si="49"/>
        <v>0.352871280640327-26.2858345889639i</v>
      </c>
      <c r="P176" s="81">
        <f t="shared" si="54"/>
        <v>28.395218002946578</v>
      </c>
      <c r="Q176" s="81">
        <f t="shared" si="55"/>
        <v>-89.23088534133997</v>
      </c>
      <c r="R176" s="81" t="str">
        <f t="shared" si="56"/>
        <v>19.9625324445783-0.849560859717116i</v>
      </c>
      <c r="S176" s="81">
        <f t="shared" si="57"/>
        <v>26.012171369667463</v>
      </c>
      <c r="T176" s="81">
        <f t="shared" si="58"/>
        <v>-2.4369100885357815</v>
      </c>
      <c r="U176" s="81" t="str">
        <f>IMPRODUCT(COMPLEX(-1,0),IMDIV(COMPLEX(1,C176*Calculations!$B$248*Calculations!$B$250),IMPRODUCT(COMPLEX(0,C176*Calculations!$B$237),COMPLEX((Calculations!$B$250+Calculations!$B$252),C176*Calculations!$B$248*Calculations!$B$250*Calculations!$B$252))))</f>
        <v>-1.49393800463417+16.0740451155024i</v>
      </c>
      <c r="V176" s="81">
        <f t="shared" si="59"/>
        <v>24.159857054475054</v>
      </c>
      <c r="W176" s="81">
        <f t="shared" si="60"/>
        <v>95.309873783479787</v>
      </c>
      <c r="X176" s="81">
        <f>Calculations!$B$216/(Calculations!$B$216+Calculations!$B$218)</f>
        <v>0.80079681274900394</v>
      </c>
      <c r="Y176" s="81" t="str">
        <f t="shared" si="61"/>
        <v>-12.9464070372442+257.974962216223i</v>
      </c>
      <c r="Z176" s="81">
        <f t="shared" si="62"/>
        <v>48.242475142931525</v>
      </c>
      <c r="AA176" s="81">
        <f t="shared" si="63"/>
        <v>92.872963694944019</v>
      </c>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4"/>
      <c r="BW176" s="44"/>
      <c r="BX176" s="44"/>
      <c r="BY176" s="44"/>
      <c r="BZ176" s="44"/>
      <c r="CA176" s="44"/>
      <c r="CB176" s="44"/>
      <c r="CC176" s="44"/>
      <c r="CD176" s="44"/>
      <c r="CE176" s="44"/>
      <c r="CF176" s="44"/>
      <c r="CG176" s="44"/>
      <c r="CH176" s="44"/>
      <c r="CI176" s="44"/>
      <c r="CJ176" s="44"/>
      <c r="CK176" s="44"/>
      <c r="CL176" s="44"/>
      <c r="CM176" s="44"/>
      <c r="CN176" s="44"/>
      <c r="CO176" s="44"/>
      <c r="CP176" s="44"/>
    </row>
    <row r="177" spans="2:94">
      <c r="B177" s="1">
        <v>7.7426368268112711</v>
      </c>
      <c r="C177" s="1">
        <f t="shared" si="44"/>
        <v>48.648421949048156</v>
      </c>
      <c r="D177" s="80" t="str">
        <f>IMDIV(COMPLEX((POWER(V48_Nom,2)/(V12_Min*Calculations!$B$28*np)),((Zo_Boost_Cout*Zo_Boost_Resr*POWER(V48_Nom,2))/(V12_Min*Calculations!$B$28*np))*C177),COMPLEX(1,((Zo_Boost_Cout*Zo_Boost_Resr)+((Zo_Boost_Cout*POWER(V48_Nom,2))/(V12_Min*Calculations!$B$28*np)))*C177))</f>
        <v>3.17223811648308-0.296294703123023i</v>
      </c>
      <c r="E177" s="1">
        <f t="shared" si="45"/>
        <v>10.065039170139855</v>
      </c>
      <c r="F177" s="1">
        <f t="shared" si="46"/>
        <v>-5.336082800324272</v>
      </c>
      <c r="G177" s="1" t="str">
        <f>IMDIV(IMSUM(COMPLEX(V48_Nom,0),IMPRODUCT(COMPLEX(np*(Calculations!$B$28*(V12_Min/V48_Nom)),0),D177)),IMSUM(IMPRODUCT(COMPLEX(((V12_Min/V48_Nom)^2),0),D177),COMPLEX(Rcs/np,(Lm*C177)/np)))</f>
        <v>478.852641462425+21.9778714482767i</v>
      </c>
      <c r="H177" s="1">
        <f t="shared" si="50"/>
        <v>53.613176666373604</v>
      </c>
      <c r="I177" s="1">
        <f t="shared" si="51"/>
        <v>2.6278568300494025</v>
      </c>
      <c r="J177" s="82" t="str">
        <f>IMPRODUCT(COMPLEX(-1,0),IMDIV(IMSUM(IMSUB(IMPRODUCT(COMPLEX((1-(V12_Min/V48_Nom))*V48_Nom,0),D177),IMPRODUCT(COMPLEX(V48_Nom,0),D177)),IMPRODUCT(COMPLEX(0,Calculations!$B$28*Lm*C177),D177)),IMSUM(IMPRODUCT(COMPLEX(((V12_Min/V48_Nom)^2),0),D177),COMPLEX(Rcs/np,(Lm*C177)/np))))</f>
        <v>191.531173244402-0.26331732728605i</v>
      </c>
      <c r="K177" s="81">
        <f t="shared" si="52"/>
        <v>45.644797588298772</v>
      </c>
      <c r="L177" s="81">
        <f t="shared" si="53"/>
        <v>-7.8770268909311561E-2</v>
      </c>
      <c r="M177" s="1">
        <f t="shared" si="47"/>
        <v>0.66666666666666663</v>
      </c>
      <c r="N177" s="81">
        <f t="shared" si="48"/>
        <v>0.02</v>
      </c>
      <c r="O177" s="81" t="str">
        <f t="shared" si="49"/>
        <v>0.352871276305434-20.3521918430192i</v>
      </c>
      <c r="P177" s="81">
        <f t="shared" si="54"/>
        <v>26.173529111280178</v>
      </c>
      <c r="Q177" s="81">
        <f t="shared" si="55"/>
        <v>-89.0066912979851</v>
      </c>
      <c r="R177" s="81" t="str">
        <f t="shared" si="56"/>
        <v>19.9375837222809-1.09581011723672i</v>
      </c>
      <c r="S177" s="81">
        <f t="shared" si="57"/>
        <v>26.006549982532565</v>
      </c>
      <c r="T177" s="81">
        <f t="shared" si="58"/>
        <v>-3.1459272573563899</v>
      </c>
      <c r="U177" s="81" t="str">
        <f>IMPRODUCT(COMPLEX(-1,0),IMDIV(COMPLEX(1,C177*Calculations!$B$248*Calculations!$B$250),IMPRODUCT(COMPLEX(0,C177*Calculations!$B$237),COMPLEX((Calculations!$B$250+Calculations!$B$252),C177*Calculations!$B$248*Calculations!$B$250*Calculations!$B$252))))</f>
        <v>-1.49393792545991+12.4457670214285i</v>
      </c>
      <c r="V177" s="81">
        <f t="shared" si="59"/>
        <v>21.962562561334611</v>
      </c>
      <c r="W177" s="81">
        <f t="shared" si="60"/>
        <v>96.844796947488803</v>
      </c>
      <c r="X177" s="81">
        <f>Calculations!$B$216/(Calculations!$B$216+Calculations!$B$218)</f>
        <v>0.80079681274900394</v>
      </c>
      <c r="Y177" s="81" t="str">
        <f t="shared" si="61"/>
        <v>-12.9307184232068+200.019499794686i</v>
      </c>
      <c r="Z177" s="81">
        <f t="shared" si="62"/>
        <v>46.039559262656198</v>
      </c>
      <c r="AA177" s="81">
        <f t="shared" si="63"/>
        <v>93.698869690132412</v>
      </c>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c r="BG177" s="44"/>
      <c r="BH177" s="44"/>
      <c r="BI177" s="44"/>
      <c r="BJ177" s="44"/>
      <c r="BK177" s="44"/>
      <c r="BL177" s="44"/>
      <c r="BM177" s="44"/>
      <c r="BN177" s="44"/>
      <c r="BO177" s="44"/>
      <c r="BP177" s="44"/>
      <c r="BQ177" s="44"/>
      <c r="BR177" s="44"/>
      <c r="BS177" s="44"/>
      <c r="BT177" s="44"/>
      <c r="BU177" s="44"/>
      <c r="BV177" s="44"/>
      <c r="BW177" s="44"/>
      <c r="BX177" s="44"/>
      <c r="BY177" s="44"/>
      <c r="BZ177" s="44"/>
      <c r="CA177" s="44"/>
      <c r="CB177" s="44"/>
      <c r="CC177" s="44"/>
      <c r="CD177" s="44"/>
      <c r="CE177" s="44"/>
      <c r="CF177" s="44"/>
      <c r="CG177" s="44"/>
      <c r="CH177" s="44"/>
      <c r="CI177" s="44"/>
      <c r="CJ177" s="44"/>
      <c r="CK177" s="44"/>
      <c r="CL177" s="44"/>
      <c r="CM177" s="44"/>
      <c r="CN177" s="44"/>
      <c r="CO177" s="44"/>
      <c r="CP177" s="44"/>
    </row>
    <row r="178" spans="2:94">
      <c r="B178" s="1">
        <v>10</v>
      </c>
      <c r="C178" s="1">
        <f t="shared" si="44"/>
        <v>62.831853071795862</v>
      </c>
      <c r="D178" s="80" t="str">
        <f>IMDIV(COMPLEX((POWER(V48_Nom,2)/(V12_Min*Calculations!$B$28*np)),((Zo_Boost_Cout*Zo_Boost_Resr*POWER(V48_Nom,2))/(V12_Min*Calculations!$B$28*np))*C178),COMPLEX(1,((Zo_Boost_Cout*Zo_Boost_Resr)+((Zo_Boost_Cout*POWER(V48_Nom,2))/(V12_Min*Calculations!$B$28*np)))*C178))</f>
        <v>3.15395808768892-0.380467182435707i</v>
      </c>
      <c r="E178" s="1">
        <f t="shared" si="45"/>
        <v>10.039861452132648</v>
      </c>
      <c r="F178" s="1">
        <f t="shared" si="46"/>
        <v>-6.8784481266513549</v>
      </c>
      <c r="G178" s="1" t="str">
        <f>IMDIV(IMSUM(COMPLEX(V48_Nom,0),IMPRODUCT(COMPLEX(np*(Calculations!$B$28*(V12_Min/V48_Nom)),0),D178)),IMSUM(IMPRODUCT(COMPLEX(((V12_Min/V48_Nom)^2),0),D178),COMPLEX(Rcs/np,(Lm*C178)/np)))</f>
        <v>478.885816271571+28.3864788531234i</v>
      </c>
      <c r="H178" s="1">
        <f t="shared" si="50"/>
        <v>53.619872347736795</v>
      </c>
      <c r="I178" s="1">
        <f t="shared" si="51"/>
        <v>3.3923003875882198</v>
      </c>
      <c r="J178" s="82" t="str">
        <f>IMPRODUCT(COMPLEX(-1,0),IMDIV(IMSUM(IMSUB(IMPRODUCT(COMPLEX((1-(V12_Min/V48_Nom))*V48_Nom,0),D178),IMPRODUCT(COMPLEX(V48_Nom,0),D178)),IMPRODUCT(COMPLEX(0,Calculations!$B$28*Lm*C178),D178)),IMSUM(IMPRODUCT(COMPLEX(((V12_Min/V48_Nom)^2),0),D178),COMPLEX(Rcs/np,(Lm*C178)/np))))</f>
        <v>191.537838937184-0.340108973735843i</v>
      </c>
      <c r="K178" s="81">
        <f t="shared" si="52"/>
        <v>45.645105355377481</v>
      </c>
      <c r="L178" s="81">
        <f t="shared" si="53"/>
        <v>-0.10173858281464435</v>
      </c>
      <c r="M178" s="1">
        <f t="shared" si="47"/>
        <v>0.66666666666666663</v>
      </c>
      <c r="N178" s="81">
        <f t="shared" si="48"/>
        <v>0.02</v>
      </c>
      <c r="O178" s="81" t="str">
        <f t="shared" si="49"/>
        <v>0.352871269074397-15.7579949752141i</v>
      </c>
      <c r="P178" s="81">
        <f t="shared" si="54"/>
        <v>23.95219639229326</v>
      </c>
      <c r="Q178" s="81">
        <f t="shared" si="55"/>
        <v>-88.717180960557684</v>
      </c>
      <c r="R178" s="81" t="str">
        <f t="shared" si="56"/>
        <v>19.8961145322063-1.41220202212104i</v>
      </c>
      <c r="S178" s="81">
        <f t="shared" si="57"/>
        <v>25.997190218493472</v>
      </c>
      <c r="T178" s="81">
        <f t="shared" si="58"/>
        <v>-4.0599758756617392</v>
      </c>
      <c r="U178" s="81" t="str">
        <f>IMPRODUCT(COMPLEX(-1,0),IMDIV(COMPLEX(1,C178*Calculations!$B$248*Calculations!$B$250),IMPRODUCT(COMPLEX(0,C178*Calculations!$B$237),COMPLEX((Calculations!$B$250+Calculations!$B$252),C178*Calculations!$B$248*Calculations!$B$250*Calculations!$B$252))))</f>
        <v>-1.4939377933893+9.63658651963958i</v>
      </c>
      <c r="V178" s="81">
        <f t="shared" si="59"/>
        <v>19.781606507346716</v>
      </c>
      <c r="W178" s="81">
        <f t="shared" si="60"/>
        <v>98.812282543448759</v>
      </c>
      <c r="X178" s="81">
        <f>Calculations!$B$216/(Calculations!$B$216+Calculations!$B$218)</f>
        <v>0.80079681274900394</v>
      </c>
      <c r="Y178" s="81" t="str">
        <f t="shared" si="61"/>
        <v>-12.9046408161316+155.226751332547i</v>
      </c>
      <c r="Z178" s="81">
        <f t="shared" si="62"/>
        <v>43.849243444629181</v>
      </c>
      <c r="AA178" s="81">
        <f t="shared" si="63"/>
        <v>94.752306667787039</v>
      </c>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c r="BG178" s="44"/>
      <c r="BH178" s="44"/>
      <c r="BI178" s="44"/>
      <c r="BJ178" s="44"/>
      <c r="BK178" s="44"/>
      <c r="BL178" s="44"/>
      <c r="BM178" s="44"/>
      <c r="BN178" s="44"/>
      <c r="BO178" s="44"/>
      <c r="BP178" s="44"/>
      <c r="BQ178" s="44"/>
      <c r="BR178" s="44"/>
      <c r="BS178" s="44"/>
      <c r="BT178" s="44"/>
      <c r="BU178" s="44"/>
      <c r="BV178" s="44"/>
      <c r="BW178" s="44"/>
      <c r="BX178" s="44"/>
      <c r="BY178" s="44"/>
      <c r="BZ178" s="44"/>
      <c r="CA178" s="44"/>
      <c r="CB178" s="44"/>
      <c r="CC178" s="44"/>
      <c r="CD178" s="44"/>
      <c r="CE178" s="44"/>
      <c r="CF178" s="44"/>
      <c r="CG178" s="44"/>
      <c r="CH178" s="44"/>
      <c r="CI178" s="44"/>
      <c r="CJ178" s="44"/>
      <c r="CK178" s="44"/>
      <c r="CL178" s="44"/>
      <c r="CM178" s="44"/>
      <c r="CN178" s="44"/>
      <c r="CO178" s="44"/>
      <c r="CP178" s="44"/>
    </row>
    <row r="179" spans="2:94">
      <c r="B179" s="1">
        <v>12.915496650148844</v>
      </c>
      <c r="C179" s="1">
        <f t="shared" si="44"/>
        <v>81.150458787142384</v>
      </c>
      <c r="D179" s="80" t="str">
        <f>IMDIV(COMPLEX((POWER(V48_Nom,2)/(V12_Min*Calculations!$B$28*np)),((Zo_Boost_Cout*Zo_Boost_Resr*POWER(V48_Nom,2))/(V12_Min*Calculations!$B$28*np))*C179),COMPLEX(1,((Zo_Boost_Cout*Zo_Boost_Resr)+((Zo_Boost_Cout*POWER(V48_Nom,2))/(V12_Min*Calculations!$B$28*np)))*C179))</f>
        <v>3.12393097482271-0.486699150888602i</v>
      </c>
      <c r="E179" s="1">
        <f t="shared" si="45"/>
        <v>9.9981846166685742</v>
      </c>
      <c r="F179" s="1">
        <f t="shared" si="46"/>
        <v>-8.8553223536217853</v>
      </c>
      <c r="G179" s="1" t="str">
        <f>IMDIV(IMSUM(COMPLEX(V48_Nom,0),IMPRODUCT(COMPLEX(np*(Calculations!$B$28*(V12_Min/V48_Nom)),0),D179)),IMSUM(IMPRODUCT(COMPLEX(((V12_Min/V48_Nom)^2),0),D179),COMPLEX(Rcs/np,(Lm*C179)/np)))</f>
        <v>478.941162896314+36.6646293680436i</v>
      </c>
      <c r="H179" s="1">
        <f t="shared" si="50"/>
        <v>53.631020568734151</v>
      </c>
      <c r="I179" s="1">
        <f t="shared" si="51"/>
        <v>4.3776549620727776</v>
      </c>
      <c r="J179" s="82" t="str">
        <f>IMPRODUCT(COMPLEX(-1,0),IMDIV(IMSUM(IMSUB(IMPRODUCT(COMPLEX((1-(V12_Min/V48_Nom))*V48_Nom,0),D179),IMPRODUCT(COMPLEX(V48_Nom,0),D179)),IMPRODUCT(COMPLEX(0,Calculations!$B$28*Lm*C179),D179)),IMSUM(IMPRODUCT(COMPLEX(((V12_Min/V48_Nom)^2),0),D179),COMPLEX(Rcs/np,(Lm*C179)/np))))</f>
        <v>191.548958987567-0.439314103964663i</v>
      </c>
      <c r="K179" s="81">
        <f t="shared" si="52"/>
        <v>45.645618765336955</v>
      </c>
      <c r="L179" s="81">
        <f t="shared" si="53"/>
        <v>-0.13140661289699923</v>
      </c>
      <c r="M179" s="1">
        <f t="shared" si="47"/>
        <v>0.66666666666666663</v>
      </c>
      <c r="N179" s="81">
        <f t="shared" si="48"/>
        <v>0.02</v>
      </c>
      <c r="O179" s="81" t="str">
        <f t="shared" si="49"/>
        <v>0.3528712570123-12.2008845097024i</v>
      </c>
      <c r="P179" s="81">
        <f t="shared" si="54"/>
        <v>21.731457545514509</v>
      </c>
      <c r="Q179" s="81">
        <f t="shared" si="55"/>
        <v>-88.343366065319913</v>
      </c>
      <c r="R179" s="81" t="str">
        <f t="shared" si="56"/>
        <v>19.8273479932875-1.81730878837806i</v>
      </c>
      <c r="S179" s="81">
        <f t="shared" si="57"/>
        <v>25.981625025168562</v>
      </c>
      <c r="T179" s="81">
        <f t="shared" si="58"/>
        <v>-5.2369083484137464</v>
      </c>
      <c r="U179" s="81" t="str">
        <f>IMPRODUCT(COMPLEX(-1,0),IMDIV(COMPLEX(1,C179*Calculations!$B$248*Calculations!$B$250),IMPRODUCT(COMPLEX(0,C179*Calculations!$B$237),COMPLEX((Calculations!$B$250+Calculations!$B$252),C179*Calculations!$B$248*Calculations!$B$250*Calculations!$B$252))))</f>
        <v>-1.49393757308227+7.46162203698474i</v>
      </c>
      <c r="V179" s="81">
        <f t="shared" si="59"/>
        <v>17.627359625266863</v>
      </c>
      <c r="W179" s="81">
        <f t="shared" si="60"/>
        <v>101.32184261658143</v>
      </c>
      <c r="X179" s="81">
        <f>Calculations!$B$216/(Calculations!$B$216+Calculations!$B$218)</f>
        <v>0.80079681274900394</v>
      </c>
      <c r="Y179" s="81" t="str">
        <f t="shared" si="61"/>
        <v>-12.8613964801384+120.647345191667i</v>
      </c>
      <c r="Z179" s="81">
        <f t="shared" si="62"/>
        <v>41.679431369224417</v>
      </c>
      <c r="AA179" s="81">
        <f t="shared" si="63"/>
        <v>96.0849342681677</v>
      </c>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c r="BH179" s="44"/>
      <c r="BI179" s="44"/>
      <c r="BJ179" s="44"/>
      <c r="BK179" s="44"/>
      <c r="BL179" s="44"/>
      <c r="BM179" s="44"/>
      <c r="BN179" s="44"/>
      <c r="BO179" s="44"/>
      <c r="BP179" s="44"/>
      <c r="BQ179" s="44"/>
      <c r="BR179" s="44"/>
      <c r="BS179" s="44"/>
      <c r="BT179" s="44"/>
      <c r="BU179" s="44"/>
      <c r="BV179" s="44"/>
      <c r="BW179" s="44"/>
      <c r="BX179" s="44"/>
      <c r="BY179" s="44"/>
      <c r="BZ179" s="44"/>
      <c r="CA179" s="44"/>
      <c r="CB179" s="44"/>
      <c r="CC179" s="44"/>
      <c r="CD179" s="44"/>
      <c r="CE179" s="44"/>
      <c r="CF179" s="44"/>
      <c r="CG179" s="44"/>
      <c r="CH179" s="44"/>
      <c r="CI179" s="44"/>
      <c r="CJ179" s="44"/>
      <c r="CK179" s="44"/>
      <c r="CL179" s="44"/>
      <c r="CM179" s="44"/>
      <c r="CN179" s="44"/>
      <c r="CO179" s="44"/>
      <c r="CP179" s="44"/>
    </row>
    <row r="180" spans="2:94">
      <c r="B180" s="1">
        <v>16.681005372000598</v>
      </c>
      <c r="C180" s="1">
        <f t="shared" si="44"/>
        <v>104.8098478623379</v>
      </c>
      <c r="D180" s="80" t="str">
        <f>IMDIV(COMPLEX((POWER(V48_Nom,2)/(V12_Min*Calculations!$B$28*np)),((Zo_Boost_Cout*Zo_Boost_Resr*POWER(V48_Nom,2))/(V12_Min*Calculations!$B$28*np))*C180),COMPLEX(1,((Zo_Boost_Cout*Zo_Boost_Resr)+((Zo_Boost_Cout*POWER(V48_Nom,2))/(V12_Min*Calculations!$B$28*np)))*C180))</f>
        <v>3.07509906862695-0.618738732759573i</v>
      </c>
      <c r="E180" s="1">
        <f t="shared" si="45"/>
        <v>9.9295413428913744</v>
      </c>
      <c r="F180" s="1">
        <f t="shared" si="46"/>
        <v>-11.376543437696251</v>
      </c>
      <c r="G180" s="1" t="str">
        <f>IMDIV(IMSUM(COMPLEX(V48_Nom,0),IMPRODUCT(COMPLEX(np*(Calculations!$B$28*(V12_Min/V48_Nom)),0),D180)),IMSUM(IMPRODUCT(COMPLEX(((V12_Min/V48_Nom)^2),0),D180),COMPLEX(Rcs/np,(Lm*C180)/np)))</f>
        <v>479.033508083564+47.3586762197184i</v>
      </c>
      <c r="H180" s="1">
        <f t="shared" si="50"/>
        <v>53.649559218189474</v>
      </c>
      <c r="I180" s="1">
        <f t="shared" si="51"/>
        <v>5.6460840066668299</v>
      </c>
      <c r="J180" s="82" t="str">
        <f>IMPRODUCT(COMPLEX(-1,0),IMDIV(IMSUM(IMSUB(IMPRODUCT(COMPLEX((1-(V12_Min/V48_Nom))*V48_Nom,0),D180),IMPRODUCT(COMPLEX(V48_Nom,0),D180)),IMPRODUCT(COMPLEX(0,Calculations!$B$28*Lm*C180),D180)),IMSUM(IMPRODUCT(COMPLEX(((V12_Min/V48_Nom)^2),0),D180),COMPLEX(Rcs/np,(Lm*C180)/np))))</f>
        <v>191.567511145663-0.567496129074536i</v>
      </c>
      <c r="K180" s="81">
        <f t="shared" si="52"/>
        <v>45.64647525024894</v>
      </c>
      <c r="L180" s="81">
        <f t="shared" si="53"/>
        <v>-0.1697314840998129</v>
      </c>
      <c r="M180" s="1">
        <f t="shared" si="47"/>
        <v>0.66666666666666663</v>
      </c>
      <c r="N180" s="81">
        <f t="shared" si="48"/>
        <v>0.02</v>
      </c>
      <c r="O180" s="81" t="str">
        <f t="shared" si="49"/>
        <v>0.352871236891511-9.44675509862168i</v>
      </c>
      <c r="P180" s="81">
        <f t="shared" si="54"/>
        <v>19.511708615508262</v>
      </c>
      <c r="Q180" s="81">
        <f t="shared" si="55"/>
        <v>-87.860785334179624</v>
      </c>
      <c r="R180" s="81" t="str">
        <f t="shared" si="56"/>
        <v>19.7137607649409-2.33302173801887i</v>
      </c>
      <c r="S180" s="81">
        <f t="shared" si="57"/>
        <v>25.955792742768217</v>
      </c>
      <c r="T180" s="81">
        <f t="shared" si="58"/>
        <v>-6.7492673645598913</v>
      </c>
      <c r="U180" s="81" t="str">
        <f>IMPRODUCT(COMPLEX(-1,0),IMDIV(COMPLEX(1,C180*Calculations!$B$248*Calculations!$B$250),IMPRODUCT(COMPLEX(0,C180*Calculations!$B$237),COMPLEX((Calculations!$B$250+Calculations!$B$252),C180*Calculations!$B$248*Calculations!$B$250*Calculations!$B$252))))</f>
        <v>-1.49393720558816+5.77773187964171i</v>
      </c>
      <c r="V180" s="81">
        <f t="shared" si="59"/>
        <v>15.516211695529716</v>
      </c>
      <c r="W180" s="81">
        <f t="shared" si="60"/>
        <v>104.49734294082833</v>
      </c>
      <c r="X180" s="81">
        <f>Calculations!$B$216/(Calculations!$B$216+Calculations!$B$218)</f>
        <v>0.80079681274900394</v>
      </c>
      <c r="Y180" s="81" t="str">
        <f t="shared" si="61"/>
        <v>-12.7899636096784+94.0025044423717i</v>
      </c>
      <c r="Z180" s="81">
        <f t="shared" si="62"/>
        <v>39.542451157086923</v>
      </c>
      <c r="AA180" s="81">
        <f t="shared" si="63"/>
        <v>97.748075576268462</v>
      </c>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4"/>
      <c r="BI180" s="44"/>
      <c r="BJ180" s="44"/>
      <c r="BK180" s="44"/>
      <c r="BL180" s="44"/>
      <c r="BM180" s="44"/>
      <c r="BN180" s="44"/>
      <c r="BO180" s="44"/>
      <c r="BP180" s="44"/>
      <c r="BQ180" s="44"/>
      <c r="BR180" s="44"/>
      <c r="BS180" s="44"/>
      <c r="BT180" s="44"/>
      <c r="BU180" s="44"/>
      <c r="BV180" s="44"/>
      <c r="BW180" s="44"/>
      <c r="BX180" s="44"/>
      <c r="BY180" s="44"/>
      <c r="BZ180" s="44"/>
      <c r="CA180" s="44"/>
      <c r="CB180" s="44"/>
      <c r="CC180" s="44"/>
      <c r="CD180" s="44"/>
      <c r="CE180" s="44"/>
      <c r="CF180" s="44"/>
      <c r="CG180" s="44"/>
      <c r="CH180" s="44"/>
      <c r="CI180" s="44"/>
      <c r="CJ180" s="44"/>
      <c r="CK180" s="44"/>
      <c r="CL180" s="44"/>
      <c r="CM180" s="44"/>
      <c r="CN180" s="44"/>
      <c r="CO180" s="44"/>
      <c r="CP180" s="44"/>
    </row>
    <row r="181" spans="2:94">
      <c r="B181" s="1">
        <v>21.544346900318843</v>
      </c>
      <c r="C181" s="1">
        <f t="shared" si="44"/>
        <v>135.3671238968634</v>
      </c>
      <c r="D181" s="80" t="str">
        <f>IMDIV(COMPLEX((POWER(V48_Nom,2)/(V12_Min*Calculations!$B$28*np)),((Zo_Boost_Cout*Zo_Boost_Resr*POWER(V48_Nom,2))/(V12_Min*Calculations!$B$28*np))*C181),COMPLEX(1,((Zo_Boost_Cout*Zo_Boost_Resr)+((Zo_Boost_Cout*POWER(V48_Nom,2))/(V12_Min*Calculations!$B$28*np)))*C181))</f>
        <v>2.9969638082829-0.778760606056556i</v>
      </c>
      <c r="E181" s="1">
        <f t="shared" si="45"/>
        <v>9.8173980884595142</v>
      </c>
      <c r="F181" s="1">
        <f t="shared" si="46"/>
        <v>-14.5661578575736</v>
      </c>
      <c r="G181" s="1" t="str">
        <f>IMDIV(IMSUM(COMPLEX(V48_Nom,0),IMPRODUCT(COMPLEX(np*(Calculations!$B$28*(V12_Min/V48_Nom)),0),D181)),IMSUM(IMPRODUCT(COMPLEX(((V12_Min/V48_Nom)^2),0),D181),COMPLEX(Rcs/np,(Lm*C181)/np)))</f>
        <v>479.187608858741+61.1757505327734i</v>
      </c>
      <c r="H181" s="1">
        <f t="shared" si="50"/>
        <v>53.680324401714842</v>
      </c>
      <c r="I181" s="1">
        <f t="shared" si="51"/>
        <v>7.2753419454859616</v>
      </c>
      <c r="J181" s="82" t="str">
        <f>IMPRODUCT(COMPLEX(-1,0),IMDIV(IMSUM(IMSUB(IMPRODUCT(COMPLEX((1-(V12_Min/V48_Nom))*V48_Nom,0),D181),IMPRODUCT(COMPLEX(V48_Nom,0),D181)),IMPRODUCT(COMPLEX(0,Calculations!$B$28*Lm*C181),D181)),IMSUM(IMPRODUCT(COMPLEX(((V12_Min/V48_Nom)^2),0),D181),COMPLEX(Rcs/np,(Lm*C181)/np))))</f>
        <v>191.598465793096-0.733165272754506i</v>
      </c>
      <c r="K181" s="81">
        <f t="shared" si="52"/>
        <v>45.647904135435752</v>
      </c>
      <c r="L181" s="81">
        <f t="shared" si="53"/>
        <v>-0.21924534003798232</v>
      </c>
      <c r="M181" s="1">
        <f t="shared" si="47"/>
        <v>0.66666666666666663</v>
      </c>
      <c r="N181" s="81">
        <f t="shared" si="48"/>
        <v>0.02</v>
      </c>
      <c r="O181" s="81" t="str">
        <f t="shared" si="49"/>
        <v>0.352871203328018-7.31434826543526i</v>
      </c>
      <c r="P181" s="81">
        <f t="shared" si="54"/>
        <v>17.293608960863935</v>
      </c>
      <c r="Q181" s="81">
        <f t="shared" si="55"/>
        <v>-87.237981255061783</v>
      </c>
      <c r="R181" s="81" t="str">
        <f t="shared" si="56"/>
        <v>19.5273465510902-2.98328023217761i</v>
      </c>
      <c r="S181" s="81">
        <f t="shared" si="57"/>
        <v>25.913064353310595</v>
      </c>
      <c r="T181" s="81">
        <f t="shared" si="58"/>
        <v>-8.6861699909674517</v>
      </c>
      <c r="U181" s="81" t="str">
        <f>IMPRODUCT(COMPLEX(-1,0),IMDIV(COMPLEX(1,C181*Calculations!$B$248*Calculations!$B$250),IMPRODUCT(COMPLEX(0,C181*Calculations!$B$237),COMPLEX((Calculations!$B$250+Calculations!$B$252),C181*Calculations!$B$248*Calculations!$B$250*Calculations!$B$252))))</f>
        <v>-1.49393659257145+4.4740935989904i</v>
      </c>
      <c r="V181" s="81">
        <f t="shared" si="59"/>
        <v>13.473175245381906</v>
      </c>
      <c r="W181" s="81">
        <f t="shared" si="60"/>
        <v>108.46458800180157</v>
      </c>
      <c r="X181" s="81">
        <f>Calculations!$B$216/(Calculations!$B$216+Calculations!$B$218)</f>
        <v>0.80079681274900394</v>
      </c>
      <c r="Y181" s="81" t="str">
        <f t="shared" si="61"/>
        <v>-12.6727237375344+73.5323727114074i</v>
      </c>
      <c r="Z181" s="81">
        <f t="shared" si="62"/>
        <v>37.456686317481513</v>
      </c>
      <c r="AA181" s="81">
        <f t="shared" si="63"/>
        <v>99.778418010834102</v>
      </c>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c r="BH181" s="44"/>
      <c r="BI181" s="44"/>
      <c r="BJ181" s="44"/>
      <c r="BK181" s="44"/>
      <c r="BL181" s="44"/>
      <c r="BM181" s="44"/>
      <c r="BN181" s="44"/>
      <c r="BO181" s="44"/>
      <c r="BP181" s="44"/>
      <c r="BQ181" s="44"/>
      <c r="BR181" s="44"/>
      <c r="BS181" s="44"/>
      <c r="BT181" s="44"/>
      <c r="BU181" s="44"/>
      <c r="BV181" s="44"/>
      <c r="BW181" s="44"/>
      <c r="BX181" s="44"/>
      <c r="BY181" s="44"/>
      <c r="BZ181" s="44"/>
      <c r="CA181" s="44"/>
      <c r="CB181" s="44"/>
      <c r="CC181" s="44"/>
      <c r="CD181" s="44"/>
      <c r="CE181" s="44"/>
      <c r="CF181" s="44"/>
      <c r="CG181" s="44"/>
      <c r="CH181" s="44"/>
      <c r="CI181" s="44"/>
      <c r="CJ181" s="44"/>
      <c r="CK181" s="44"/>
      <c r="CL181" s="44"/>
      <c r="CM181" s="44"/>
      <c r="CN181" s="44"/>
      <c r="CO181" s="44"/>
      <c r="CP181" s="44"/>
    </row>
    <row r="182" spans="2:94">
      <c r="B182" s="1">
        <v>27.825594022071257</v>
      </c>
      <c r="C182" s="1">
        <f t="shared" si="44"/>
        <v>174.83336352302226</v>
      </c>
      <c r="D182" s="80" t="str">
        <f>IMDIV(COMPLEX((POWER(V48_Nom,2)/(V12_Min*Calculations!$B$28*np)),((Zo_Boost_Cout*Zo_Boost_Resr*POWER(V48_Nom,2))/(V12_Min*Calculations!$B$28*np))*C182),COMPLEX(1,((Zo_Boost_Cout*Zo_Boost_Resr)+((Zo_Boost_Cout*POWER(V48_Nom,2))/(V12_Min*Calculations!$B$28*np)))*C182))</f>
        <v>2.87512957210233-0.964782872280194i</v>
      </c>
      <c r="E182" s="1">
        <f t="shared" si="45"/>
        <v>9.6365449957810227</v>
      </c>
      <c r="F182" s="1">
        <f t="shared" si="46"/>
        <v>-18.54977144788224</v>
      </c>
      <c r="G182" s="1" t="str">
        <f>IMDIV(IMSUM(COMPLEX(V48_Nom,0),IMPRODUCT(COMPLEX(np*(Calculations!$B$28*(V12_Min/V48_Nom)),0),D182)),IMSUM(IMPRODUCT(COMPLEX(((V12_Min/V48_Nom)^2),0),D182),COMPLEX(Rcs/np,(Lm*C182)/np)))</f>
        <v>479.444830731947+79.0323580117664i</v>
      </c>
      <c r="H182" s="1">
        <f t="shared" si="50"/>
        <v>53.73120744154059</v>
      </c>
      <c r="I182" s="1">
        <f t="shared" si="51"/>
        <v>9.3605387039631385</v>
      </c>
      <c r="J182" s="82" t="str">
        <f>IMPRODUCT(COMPLEX(-1,0),IMDIV(IMSUM(IMSUB(IMPRODUCT(COMPLEX((1-(V12_Min/V48_Nom))*V48_Nom,0),D182),IMPRODUCT(COMPLEX(V48_Nom,0),D182)),IMPRODUCT(COMPLEX(0,Calculations!$B$28*Lm*C182),D182)),IMSUM(IMPRODUCT(COMPLEX(((V12_Min/V48_Nom)^2),0),D182),COMPLEX(Rcs/np,(Lm*C182)/np))))</f>
        <v>191.650122923377-0.947384660915846i</v>
      </c>
      <c r="K182" s="81">
        <f t="shared" si="52"/>
        <v>45.650288166865458</v>
      </c>
      <c r="L182" s="81">
        <f t="shared" si="53"/>
        <v>-0.28322810171970697</v>
      </c>
      <c r="M182" s="1">
        <f t="shared" si="47"/>
        <v>0.66666666666666663</v>
      </c>
      <c r="N182" s="81">
        <f t="shared" si="48"/>
        <v>0.02</v>
      </c>
      <c r="O182" s="81" t="str">
        <f t="shared" si="49"/>
        <v>0.35287114734075-5.663323177789i</v>
      </c>
      <c r="P182" s="81">
        <f t="shared" si="54"/>
        <v>15.078254897475396</v>
      </c>
      <c r="Q182" s="81">
        <f t="shared" si="55"/>
        <v>-86.434615610282478</v>
      </c>
      <c r="R182" s="81" t="str">
        <f t="shared" si="56"/>
        <v>19.2246277442909-3.79028105494792i</v>
      </c>
      <c r="S182" s="81">
        <f t="shared" si="57"/>
        <v>25.842775476610001</v>
      </c>
      <c r="T182" s="81">
        <f t="shared" si="58"/>
        <v>-11.15325226642419</v>
      </c>
      <c r="U182" s="81" t="str">
        <f>IMPRODUCT(COMPLEX(-1,0),IMDIV(COMPLEX(1,C182*Calculations!$B$248*Calculations!$B$250),IMPRODUCT(COMPLEX(0,C182*Calculations!$B$237),COMPLEX((Calculations!$B$250+Calculations!$B$252),C182*Calculations!$B$248*Calculations!$B$250*Calculations!$B$252))))</f>
        <v>-1.49393556999904+3.46491039513754i</v>
      </c>
      <c r="V182" s="81">
        <f t="shared" si="59"/>
        <v>11.534321366732932</v>
      </c>
      <c r="W182" s="81">
        <f t="shared" si="60"/>
        <v>113.32383991747548</v>
      </c>
      <c r="X182" s="81">
        <f>Calculations!$B$216/(Calculations!$B$216+Calculations!$B$218)</f>
        <v>0.80079681274900394</v>
      </c>
      <c r="Y182" s="81" t="str">
        <f t="shared" si="61"/>
        <v>-12.4823169994436+57.8768274447282i</v>
      </c>
      <c r="Z182" s="81">
        <f t="shared" si="62"/>
        <v>35.447543562131955</v>
      </c>
      <c r="AA182" s="81">
        <f t="shared" si="63"/>
        <v>102.17058765105133</v>
      </c>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c r="BH182" s="44"/>
      <c r="BI182" s="44"/>
      <c r="BJ182" s="44"/>
      <c r="BK182" s="44"/>
      <c r="BL182" s="44"/>
      <c r="BM182" s="44"/>
      <c r="BN182" s="44"/>
      <c r="BO182" s="44"/>
      <c r="BP182" s="44"/>
      <c r="BQ182" s="44"/>
      <c r="BR182" s="44"/>
      <c r="BS182" s="44"/>
      <c r="BT182" s="44"/>
      <c r="BU182" s="44"/>
      <c r="BV182" s="44"/>
      <c r="BW182" s="44"/>
      <c r="BX182" s="44"/>
      <c r="BY182" s="44"/>
      <c r="BZ182" s="44"/>
      <c r="CA182" s="44"/>
      <c r="CB182" s="44"/>
      <c r="CC182" s="44"/>
      <c r="CD182" s="44"/>
      <c r="CE182" s="44"/>
      <c r="CF182" s="44"/>
      <c r="CG182" s="44"/>
      <c r="CH182" s="44"/>
      <c r="CI182" s="44"/>
      <c r="CJ182" s="44"/>
      <c r="CK182" s="44"/>
      <c r="CL182" s="44"/>
      <c r="CM182" s="44"/>
      <c r="CN182" s="44"/>
      <c r="CO182" s="44"/>
      <c r="CP182" s="44"/>
    </row>
    <row r="183" spans="2:94">
      <c r="B183" s="1">
        <v>35.938136638046281</v>
      </c>
      <c r="C183" s="1">
        <f t="shared" si="44"/>
        <v>225.80597209158475</v>
      </c>
      <c r="D183" s="80" t="str">
        <f>IMDIV(COMPLEX((POWER(V48_Nom,2)/(V12_Min*Calculations!$B$28*np)),((Zo_Boost_Cout*Zo_Boost_Resr*POWER(V48_Nom,2))/(V12_Min*Calculations!$B$28*np))*C183),COMPLEX(1,((Zo_Boost_Cout*Zo_Boost_Resr)+((Zo_Boost_Cout*POWER(V48_Nom,2))/(V12_Min*Calculations!$B$28*np)))*C183))</f>
        <v>2.69260597932341-1.16668506479138i</v>
      </c>
      <c r="E183" s="1">
        <f t="shared" si="45"/>
        <v>9.3506776120720865</v>
      </c>
      <c r="F183" s="1">
        <f t="shared" si="46"/>
        <v>-23.426706739478114</v>
      </c>
      <c r="G183" s="1" t="str">
        <f>IMDIV(IMSUM(COMPLEX(V48_Nom,0),IMPRODUCT(COMPLEX(np*(Calculations!$B$28*(V12_Min/V48_Nom)),0),D183)),IMSUM(IMPRODUCT(COMPLEX(((V12_Min/V48_Nom)^2),0),D183),COMPLEX(Rcs/np,(Lm*C183)/np)))</f>
        <v>479.874365922494+102.119140202911i</v>
      </c>
      <c r="H183" s="1">
        <f t="shared" si="50"/>
        <v>53.814900298131249</v>
      </c>
      <c r="I183" s="1">
        <f t="shared" si="51"/>
        <v>12.013558581411957</v>
      </c>
      <c r="J183" s="82" t="str">
        <f>IMPRODUCT(COMPLEX(-1,0),IMDIV(IMSUM(IMSUB(IMPRODUCT(COMPLEX((1-(V12_Min/V48_Nom))*V48_Nom,0),D183),IMPRODUCT(COMPLEX(V48_Nom,0),D183)),IMPRODUCT(COMPLEX(0,Calculations!$B$28*Lm*C183),D183)),IMSUM(IMPRODUCT(COMPLEX(((V12_Min/V48_Nom)^2),0),D183),COMPLEX(Rcs/np,(Lm*C183)/np))))</f>
        <v>191.736352548148-1.22459784370186i</v>
      </c>
      <c r="K183" s="81">
        <f t="shared" si="52"/>
        <v>45.654266383317783</v>
      </c>
      <c r="L183" s="81">
        <f t="shared" si="53"/>
        <v>-0.36593652211432515</v>
      </c>
      <c r="M183" s="1">
        <f t="shared" si="47"/>
        <v>0.66666666666666663</v>
      </c>
      <c r="N183" s="81">
        <f t="shared" si="48"/>
        <v>0.02</v>
      </c>
      <c r="O183" s="81" t="str">
        <f t="shared" si="49"/>
        <v>0.352871053948398-4.38502034750882i</v>
      </c>
      <c r="P183" s="81">
        <f t="shared" si="54"/>
        <v>12.867465334185432</v>
      </c>
      <c r="Q183" s="81">
        <f t="shared" si="55"/>
        <v>-85.399212060275545</v>
      </c>
      <c r="R183" s="81" t="str">
        <f t="shared" si="56"/>
        <v>18.7413740010541-4.76593395809129i</v>
      </c>
      <c r="S183" s="81">
        <f t="shared" si="57"/>
        <v>25.728172840550215</v>
      </c>
      <c r="T183" s="81">
        <f t="shared" si="58"/>
        <v>-14.267894546796811</v>
      </c>
      <c r="U183" s="81" t="str">
        <f>IMPRODUCT(COMPLEX(-1,0),IMDIV(COMPLEX(1,C183*Calculations!$B$248*Calculations!$B$250),IMPRODUCT(COMPLEX(0,C183*Calculations!$B$237),COMPLEX((Calculations!$B$250+Calculations!$B$252),C183*Calculations!$B$248*Calculations!$B$250*Calculations!$B$252))))</f>
        <v>-1.49393386424859+2.68376454201041i</v>
      </c>
      <c r="V183" s="81">
        <f t="shared" si="59"/>
        <v>9.7471568989284254</v>
      </c>
      <c r="W183" s="81">
        <f t="shared" si="60"/>
        <v>119.10276567326575</v>
      </c>
      <c r="X183" s="81">
        <f>Calculations!$B$216/(Calculations!$B$216+Calculations!$B$218)</f>
        <v>0.80079681274900394</v>
      </c>
      <c r="Y183" s="81" t="str">
        <f t="shared" si="61"/>
        <v>-12.1783006852719+45.9796910542522i</v>
      </c>
      <c r="Z183" s="81">
        <f t="shared" si="62"/>
        <v>33.545776458267667</v>
      </c>
      <c r="AA183" s="81">
        <f t="shared" si="63"/>
        <v>104.83487112646888</v>
      </c>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c r="BH183" s="44"/>
      <c r="BI183" s="44"/>
      <c r="BJ183" s="44"/>
      <c r="BK183" s="44"/>
      <c r="BL183" s="44"/>
      <c r="BM183" s="44"/>
      <c r="BN183" s="44"/>
      <c r="BO183" s="44"/>
      <c r="BP183" s="44"/>
      <c r="BQ183" s="44"/>
      <c r="BR183" s="44"/>
      <c r="BS183" s="44"/>
      <c r="BT183" s="44"/>
      <c r="BU183" s="44"/>
      <c r="BV183" s="44"/>
      <c r="BW183" s="44"/>
      <c r="BX183" s="44"/>
      <c r="BY183" s="44"/>
      <c r="BZ183" s="44"/>
      <c r="CA183" s="44"/>
      <c r="CB183" s="44"/>
      <c r="CC183" s="44"/>
      <c r="CD183" s="44"/>
      <c r="CE183" s="44"/>
      <c r="CF183" s="44"/>
      <c r="CG183" s="44"/>
      <c r="CH183" s="44"/>
      <c r="CI183" s="44"/>
      <c r="CJ183" s="44"/>
      <c r="CK183" s="44"/>
      <c r="CL183" s="44"/>
      <c r="CM183" s="44"/>
      <c r="CN183" s="44"/>
      <c r="CO183" s="44"/>
      <c r="CP183" s="44"/>
    </row>
    <row r="184" spans="2:94">
      <c r="B184" s="1">
        <v>46.415888336127786</v>
      </c>
      <c r="C184" s="1">
        <f t="shared" si="44"/>
        <v>291.63962761324643</v>
      </c>
      <c r="D184" s="80" t="str">
        <f>IMDIV(COMPLEX((POWER(V48_Nom,2)/(V12_Min*Calculations!$B$28*np)),((Zo_Boost_Cout*Zo_Boost_Resr*POWER(V48_Nom,2))/(V12_Min*Calculations!$B$28*np))*C184),COMPLEX(1,((Zo_Boost_Cout*Zo_Boost_Resr)+((Zo_Boost_Cout*POWER(V48_Nom,2))/(V12_Min*Calculations!$B$28*np)))*C184))</f>
        <v>2.43491761471703-1.3620886854844i</v>
      </c>
      <c r="E184" s="1">
        <f t="shared" si="45"/>
        <v>8.9120892974582873</v>
      </c>
      <c r="F184" s="1">
        <f t="shared" si="46"/>
        <v>-29.222573440054134</v>
      </c>
      <c r="G184" s="1" t="str">
        <f>IMDIV(IMSUM(COMPLEX(V48_Nom,0),IMPRODUCT(COMPLEX(np*(Calculations!$B$28*(V12_Min/V48_Nom)),0),D184)),IMSUM(IMPRODUCT(COMPLEX(((V12_Min/V48_Nom)^2),0),D184),COMPLEX(Rcs/np,(Lm*C184)/np)))</f>
        <v>480.59216533048+131.988839408025i</v>
      </c>
      <c r="H184" s="1">
        <f t="shared" si="50"/>
        <v>53.951339030946741</v>
      </c>
      <c r="I184" s="1">
        <f t="shared" si="51"/>
        <v>15.356963141527705</v>
      </c>
      <c r="J184" s="82" t="str">
        <f>IMPRODUCT(COMPLEX(-1,0),IMDIV(IMSUM(IMSUB(IMPRODUCT(COMPLEX((1-(V12_Min/V48_Nom))*V48_Nom,0),D184),IMPRODUCT(COMPLEX(V48_Nom,0),D184)),IMPRODUCT(COMPLEX(0,Calculations!$B$28*Lm*C184),D184)),IMSUM(IMPRODUCT(COMPLEX(((V12_Min/V48_Nom)^2),0),D184),COMPLEX(Rcs/np,(Lm*C184)/np))))</f>
        <v>191.880360359537-1.58379468501005i</v>
      </c>
      <c r="K184" s="81">
        <f t="shared" si="52"/>
        <v>45.6609063819743</v>
      </c>
      <c r="L184" s="81">
        <f t="shared" si="53"/>
        <v>-0.47291286182284481</v>
      </c>
      <c r="M184" s="1">
        <f t="shared" si="47"/>
        <v>0.66666666666666663</v>
      </c>
      <c r="N184" s="81">
        <f t="shared" si="48"/>
        <v>0.02</v>
      </c>
      <c r="O184" s="81" t="str">
        <f t="shared" si="49"/>
        <v>0.352870898160678-3.39531038590856i</v>
      </c>
      <c r="P184" s="81">
        <f t="shared" si="54"/>
        <v>10.664247203098139</v>
      </c>
      <c r="Q184" s="81">
        <f t="shared" si="55"/>
        <v>-84.066613659324801</v>
      </c>
      <c r="R184" s="81" t="str">
        <f t="shared" si="56"/>
        <v>17.9905683129226-5.89586338836355i</v>
      </c>
      <c r="S184" s="81">
        <f t="shared" si="57"/>
        <v>25.54394359970237</v>
      </c>
      <c r="T184" s="81">
        <f t="shared" si="58"/>
        <v>-18.144988474748722</v>
      </c>
      <c r="U184" s="81" t="str">
        <f>IMPRODUCT(COMPLEX(-1,0),IMDIV(COMPLEX(1,C184*Calculations!$B$248*Calculations!$B$250),IMPRODUCT(COMPLEX(0,C184*Calculations!$B$237),COMPLEX((Calculations!$B$250+Calculations!$B$252),C184*Calculations!$B$248*Calculations!$B$250*Calculations!$B$252))))</f>
        <v>-1.49393101889401+2.0792462138459i</v>
      </c>
      <c r="V184" s="81">
        <f t="shared" si="59"/>
        <v>8.1657897069171206</v>
      </c>
      <c r="W184" s="81">
        <f t="shared" si="60"/>
        <v>125.69711128867124</v>
      </c>
      <c r="X184" s="81">
        <f>Calculations!$B$216/(Calculations!$B$216+Calculations!$B$218)</f>
        <v>0.80079681274900394</v>
      </c>
      <c r="Y184" s="81" t="str">
        <f t="shared" si="61"/>
        <v>-11.7058207208862+37.008691968017i</v>
      </c>
      <c r="Z184" s="81">
        <f t="shared" si="62"/>
        <v>31.780180025408512</v>
      </c>
      <c r="AA184" s="81">
        <f t="shared" si="63"/>
        <v>107.55212281392249</v>
      </c>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c r="BI184" s="44"/>
      <c r="BJ184" s="44"/>
      <c r="BK184" s="44"/>
      <c r="BL184" s="44"/>
      <c r="BM184" s="44"/>
      <c r="BN184" s="44"/>
      <c r="BO184" s="44"/>
      <c r="BP184" s="44"/>
      <c r="BQ184" s="44"/>
      <c r="BR184" s="44"/>
      <c r="BS184" s="44"/>
      <c r="BT184" s="44"/>
      <c r="BU184" s="44"/>
      <c r="BV184" s="44"/>
      <c r="BW184" s="44"/>
      <c r="BX184" s="44"/>
      <c r="BY184" s="44"/>
      <c r="BZ184" s="44"/>
      <c r="CA184" s="44"/>
      <c r="CB184" s="44"/>
      <c r="CC184" s="44"/>
      <c r="CD184" s="44"/>
      <c r="CE184" s="44"/>
      <c r="CF184" s="44"/>
      <c r="CG184" s="44"/>
      <c r="CH184" s="44"/>
      <c r="CI184" s="44"/>
      <c r="CJ184" s="44"/>
      <c r="CK184" s="44"/>
      <c r="CL184" s="44"/>
      <c r="CM184" s="44"/>
      <c r="CN184" s="44"/>
      <c r="CO184" s="44"/>
      <c r="CP184" s="44"/>
    </row>
    <row r="185" spans="2:94">
      <c r="B185" s="1">
        <v>59.948425031894104</v>
      </c>
      <c r="C185" s="1">
        <f t="shared" si="44"/>
        <v>376.66706334895395</v>
      </c>
      <c r="D185" s="80" t="str">
        <f>IMDIV(COMPLEX((POWER(V48_Nom,2)/(V12_Min*Calculations!$B$28*np)),((Zo_Boost_Cout*Zo_Boost_Resr*POWER(V48_Nom,2))/(V12_Min*Calculations!$B$28*np))*C185),COMPLEX(1,((Zo_Boost_Cout*Zo_Boost_Resr)+((Zo_Boost_Cout*POWER(V48_Nom,2))/(V12_Min*Calculations!$B$28*np)))*C185))</f>
        <v>2.10002002598206-1.51625012486912i</v>
      </c>
      <c r="E185" s="1">
        <f t="shared" si="45"/>
        <v>8.2666417132244501</v>
      </c>
      <c r="F185" s="1">
        <f t="shared" si="46"/>
        <v>-35.829923979167859</v>
      </c>
      <c r="G185" s="1" t="str">
        <f>IMDIV(IMSUM(COMPLEX(V48_Nom,0),IMPRODUCT(COMPLEX(np*(Calculations!$B$28*(V12_Min/V48_Nom)),0),D185)),IMSUM(IMPRODUCT(COMPLEX(((V12_Min/V48_Nom)^2),0),D185),COMPLEX(Rcs/np,(Lm*C185)/np)))</f>
        <v>481.793132379694+170.679300958415i</v>
      </c>
      <c r="H185" s="1">
        <f t="shared" si="50"/>
        <v>54.170663500049116</v>
      </c>
      <c r="I185" s="1">
        <f t="shared" si="51"/>
        <v>19.507122393514898</v>
      </c>
      <c r="J185" s="82" t="str">
        <f>IMPRODUCT(COMPLEX(-1,0),IMDIV(IMSUM(IMSUB(IMPRODUCT(COMPLEX((1-(V12_Min/V48_Nom))*V48_Nom,0),D185),IMPRODUCT(COMPLEX(V48_Nom,0),D185)),IMPRODUCT(COMPLEX(0,Calculations!$B$28*Lm*C185),D185)),IMSUM(IMPRODUCT(COMPLEX(((V12_Min/V48_Nom)^2),0),D185),COMPLEX(Rcs/np,(Lm*C185)/np))))</f>
        <v>192.121048781726-2.05022905476383i</v>
      </c>
      <c r="K185" s="81">
        <f t="shared" si="52"/>
        <v>45.671993530255904</v>
      </c>
      <c r="L185" s="81">
        <f t="shared" si="53"/>
        <v>-0.61141147055644329</v>
      </c>
      <c r="M185" s="1">
        <f t="shared" si="47"/>
        <v>0.66666666666666663</v>
      </c>
      <c r="N185" s="81">
        <f t="shared" si="48"/>
        <v>0.02</v>
      </c>
      <c r="O185" s="81" t="str">
        <f t="shared" si="49"/>
        <v>0.352870638291399-2.62905716704623i</v>
      </c>
      <c r="P185" s="81">
        <f t="shared" si="54"/>
        <v>8.4735417843657572</v>
      </c>
      <c r="Q185" s="81">
        <f t="shared" si="55"/>
        <v>-82.355477843892061</v>
      </c>
      <c r="R185" s="81" t="str">
        <f t="shared" si="56"/>
        <v>16.8718206699626-7.11552316193548i</v>
      </c>
      <c r="S185" s="81">
        <f t="shared" si="57"/>
        <v>25.254193088898198</v>
      </c>
      <c r="T185" s="81">
        <f t="shared" si="58"/>
        <v>-22.867102959710031</v>
      </c>
      <c r="U185" s="81" t="str">
        <f>IMPRODUCT(COMPLEX(-1,0),IMDIV(COMPLEX(1,C185*Calculations!$B$248*Calculations!$B$250),IMPRODUCT(COMPLEX(0,C185*Calculations!$B$237),COMPLEX((Calculations!$B$250+Calculations!$B$252),C185*Calculations!$B$248*Calculations!$B$250*Calculations!$B$252))))</f>
        <v>-1.49392627258063+1.61157003113519i</v>
      </c>
      <c r="V185" s="81">
        <f t="shared" si="59"/>
        <v>6.8385483769841606</v>
      </c>
      <c r="W185" s="81">
        <f t="shared" si="60"/>
        <v>132.8305338060903</v>
      </c>
      <c r="X185" s="81">
        <f>Calculations!$B$216/(Calculations!$B$216+Calculations!$B$218)</f>
        <v>0.80079681274900394</v>
      </c>
      <c r="Y185" s="81" t="str">
        <f t="shared" si="61"/>
        <v>-11.0014205122789+30.2862856533516i</v>
      </c>
      <c r="Z185" s="81">
        <f t="shared" si="62"/>
        <v>30.16318818467138</v>
      </c>
      <c r="AA185" s="81">
        <f t="shared" si="63"/>
        <v>109.96343084638021</v>
      </c>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c r="BH185" s="44"/>
      <c r="BI185" s="44"/>
      <c r="BJ185" s="44"/>
      <c r="BK185" s="44"/>
      <c r="BL185" s="44"/>
      <c r="BM185" s="44"/>
      <c r="BN185" s="44"/>
      <c r="BO185" s="44"/>
      <c r="BP185" s="44"/>
      <c r="BQ185" s="44"/>
      <c r="BR185" s="44"/>
      <c r="BS185" s="44"/>
      <c r="BT185" s="44"/>
      <c r="BU185" s="44"/>
      <c r="BV185" s="44"/>
      <c r="BW185" s="44"/>
      <c r="BX185" s="44"/>
      <c r="BY185" s="44"/>
      <c r="BZ185" s="44"/>
      <c r="CA185" s="44"/>
      <c r="CB185" s="44"/>
      <c r="CC185" s="44"/>
      <c r="CD185" s="44"/>
      <c r="CE185" s="44"/>
      <c r="CF185" s="44"/>
      <c r="CG185" s="44"/>
      <c r="CH185" s="44"/>
      <c r="CI185" s="44"/>
      <c r="CJ185" s="44"/>
      <c r="CK185" s="44"/>
      <c r="CL185" s="44"/>
      <c r="CM185" s="44"/>
      <c r="CN185" s="44"/>
      <c r="CO185" s="44"/>
      <c r="CP185" s="44"/>
    </row>
    <row r="186" spans="2:94">
      <c r="B186" s="1">
        <v>77.426368268112768</v>
      </c>
      <c r="C186" s="1">
        <f t="shared" si="44"/>
        <v>486.48421949048191</v>
      </c>
      <c r="D186" s="80" t="str">
        <f>IMDIV(COMPLEX((POWER(V48_Nom,2)/(V12_Min*Calculations!$B$28*np)),((Zo_Boost_Cout*Zo_Boost_Resr*POWER(V48_Nom,2))/(V12_Min*Calculations!$B$28*np))*C186),COMPLEX(1,((Zo_Boost_Cout*Zo_Boost_Resr)+((Zo_Boost_Cout*POWER(V48_Nom,2))/(V12_Min*Calculations!$B$28*np)))*C186))</f>
        <v>1.70868223821914-1.59164111908907i</v>
      </c>
      <c r="E186" s="1">
        <f t="shared" si="45"/>
        <v>7.3662884290164161</v>
      </c>
      <c r="F186" s="1">
        <f t="shared" si="46"/>
        <v>-42.968940533566702</v>
      </c>
      <c r="G186" s="1" t="str">
        <f>IMDIV(IMSUM(COMPLEX(V48_Nom,0),IMPRODUCT(COMPLEX(np*(Calculations!$B$28*(V12_Min/V48_Nom)),0),D186)),IMSUM(IMPRODUCT(COMPLEX(((V12_Min/V48_Nom)^2),0),D186),COMPLEX(Rcs/np,(Lm*C186)/np)))</f>
        <v>483.806553320387+220.89285424819i</v>
      </c>
      <c r="H186" s="1">
        <f t="shared" si="50"/>
        <v>54.515752742540002</v>
      </c>
      <c r="I186" s="1">
        <f t="shared" si="51"/>
        <v>24.540143706412636</v>
      </c>
      <c r="J186" s="82" t="str">
        <f>IMPRODUCT(COMPLEX(-1,0),IMDIV(IMSUM(IMSUB(IMPRODUCT(COMPLEX((1-(V12_Min/V48_Nom))*V48_Nom,0),D186),IMPRODUCT(COMPLEX(V48_Nom,0),D186)),IMPRODUCT(COMPLEX(0,Calculations!$B$28*Lm*C186),D186)),IMSUM(IMPRODUCT(COMPLEX(((V12_Min/V48_Nom)^2),0),D186),COMPLEX(Rcs/np,(Lm*C186)/np))))</f>
        <v>192.523851124522-2.6581035657788i</v>
      </c>
      <c r="K186" s="81">
        <f t="shared" si="52"/>
        <v>45.690518594009873</v>
      </c>
      <c r="L186" s="81">
        <f t="shared" si="53"/>
        <v>-0.79101077026772881</v>
      </c>
      <c r="M186" s="1">
        <f t="shared" si="47"/>
        <v>0.66666666666666663</v>
      </c>
      <c r="N186" s="81">
        <f t="shared" si="48"/>
        <v>0.02</v>
      </c>
      <c r="O186" s="81" t="str">
        <f t="shared" si="49"/>
        <v>0.352870204804173-2.03583100114505i</v>
      </c>
      <c r="P186" s="81">
        <f t="shared" si="54"/>
        <v>6.3033889622727504</v>
      </c>
      <c r="Q186" s="81">
        <f t="shared" si="55"/>
        <v>-80.166631905503934</v>
      </c>
      <c r="R186" s="81" t="str">
        <f t="shared" si="56"/>
        <v>15.3042406058613-8.28738415935067i</v>
      </c>
      <c r="S186" s="81">
        <f t="shared" si="57"/>
        <v>24.813000142090026</v>
      </c>
      <c r="T186" s="81">
        <f t="shared" si="58"/>
        <v>-28.43594415455977</v>
      </c>
      <c r="U186" s="81" t="str">
        <f>IMPRODUCT(COMPLEX(-1,0),IMDIV(COMPLEX(1,C186*Calculations!$B$248*Calculations!$B$250),IMPRODUCT(COMPLEX(0,C186*Calculations!$B$237),COMPLEX((Calculations!$B$250+Calculations!$B$252),C186*Calculations!$B$248*Calculations!$B$250*Calculations!$B$252))))</f>
        <v>-1.49391835531984+1.24995664877038i</v>
      </c>
      <c r="V186" s="81">
        <f t="shared" si="59"/>
        <v>5.7911835122709157</v>
      </c>
      <c r="W186" s="81">
        <f t="shared" si="60"/>
        <v>140.08088626416966</v>
      </c>
      <c r="X186" s="81">
        <f>Calculations!$B$216/(Calculations!$B$216+Calculations!$B$218)</f>
        <v>0.80079681274900394</v>
      </c>
      <c r="Y186" s="81" t="str">
        <f t="shared" si="61"/>
        <v>-10.0134956968565+25.2333579091501i</v>
      </c>
      <c r="Z186" s="81">
        <f t="shared" si="62"/>
        <v>28.674630373149949</v>
      </c>
      <c r="AA186" s="81">
        <f t="shared" si="63"/>
        <v>111.64494210960993</v>
      </c>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c r="BH186" s="44"/>
      <c r="BI186" s="44"/>
      <c r="BJ186" s="44"/>
      <c r="BK186" s="44"/>
      <c r="BL186" s="44"/>
      <c r="BM186" s="44"/>
      <c r="BN186" s="44"/>
      <c r="BO186" s="44"/>
      <c r="BP186" s="44"/>
      <c r="BQ186" s="44"/>
      <c r="BR186" s="44"/>
      <c r="BS186" s="44"/>
      <c r="BT186" s="44"/>
      <c r="BU186" s="44"/>
      <c r="BV186" s="44"/>
      <c r="BW186" s="44"/>
      <c r="BX186" s="44"/>
      <c r="BY186" s="44"/>
      <c r="BZ186" s="44"/>
      <c r="CA186" s="44"/>
      <c r="CB186" s="44"/>
      <c r="CC186" s="44"/>
      <c r="CD186" s="44"/>
      <c r="CE186" s="44"/>
      <c r="CF186" s="44"/>
      <c r="CG186" s="44"/>
      <c r="CH186" s="44"/>
      <c r="CI186" s="44"/>
      <c r="CJ186" s="44"/>
      <c r="CK186" s="44"/>
      <c r="CL186" s="44"/>
      <c r="CM186" s="44"/>
      <c r="CN186" s="44"/>
      <c r="CO186" s="44"/>
      <c r="CP186" s="44"/>
    </row>
    <row r="187" spans="2:94">
      <c r="B187" s="1">
        <v>100</v>
      </c>
      <c r="C187" s="1">
        <f t="shared" si="44"/>
        <v>628.31853071795865</v>
      </c>
      <c r="D187" s="80" t="str">
        <f>IMDIV(COMPLEX((POWER(V48_Nom,2)/(V12_Min*Calculations!$B$28*np)),((Zo_Boost_Cout*Zo_Boost_Resr*POWER(V48_Nom,2))/(V12_Min*Calculations!$B$28*np))*C187),COMPLEX(1,((Zo_Boost_Cout*Zo_Boost_Resr)+((Zo_Boost_Cout*POWER(V48_Nom,2))/(V12_Min*Calculations!$B$28*np)))*C187))</f>
        <v>1.30439192606416-1.56643507337381i</v>
      </c>
      <c r="E187" s="1">
        <f t="shared" si="45"/>
        <v>6.1858745217642017</v>
      </c>
      <c r="F187" s="1">
        <f t="shared" si="46"/>
        <v>-50.215387940298328</v>
      </c>
      <c r="G187" s="1" t="str">
        <f>IMDIV(IMSUM(COMPLEX(V48_Nom,0),IMPRODUCT(COMPLEX(np*(Calculations!$B$28*(V12_Min/V48_Nom)),0),D187)),IMSUM(IMPRODUCT(COMPLEX(((V12_Min/V48_Nom)^2),0),D187),COMPLEX(Rcs/np,(Lm*C187)/np)))</f>
        <v>487.193466396607+286.273232356061i</v>
      </c>
      <c r="H187" s="1">
        <f t="shared" si="50"/>
        <v>55.042122984432453</v>
      </c>
      <c r="I187" s="1">
        <f t="shared" si="51"/>
        <v>30.438350869988895</v>
      </c>
      <c r="J187" s="82" t="str">
        <f>IMPRODUCT(COMPLEX(-1,0),IMDIV(IMSUM(IMSUB(IMPRODUCT(COMPLEX((1-(V12_Min/V48_Nom))*V48_Nom,0),D187),IMPRODUCT(COMPLEX(V48_Nom,0),D187)),IMPRODUCT(COMPLEX(0,Calculations!$B$28*Lm*C187),D187)),IMSUM(IMPRODUCT(COMPLEX(((V12_Min/V48_Nom)^2),0),D187),COMPLEX(Rcs/np,(Lm*C187)/np))))</f>
        <v>193.199434396574-3.45507724713112i</v>
      </c>
      <c r="K187" s="81">
        <f t="shared" si="52"/>
        <v>45.721505745946729</v>
      </c>
      <c r="L187" s="81">
        <f t="shared" si="53"/>
        <v>-1.0245384253196868</v>
      </c>
      <c r="M187" s="1">
        <f t="shared" si="47"/>
        <v>0.66666666666666663</v>
      </c>
      <c r="N187" s="81">
        <f t="shared" si="48"/>
        <v>0.02</v>
      </c>
      <c r="O187" s="81" t="str">
        <f t="shared" si="49"/>
        <v>0.352869481706265-1.57658968772475i</v>
      </c>
      <c r="P187" s="81">
        <f t="shared" si="54"/>
        <v>4.1666578463138846</v>
      </c>
      <c r="Q187" s="81">
        <f t="shared" si="55"/>
        <v>-77.384081656036102</v>
      </c>
      <c r="R187" s="81" t="str">
        <f t="shared" si="56"/>
        <v>13.2862619276003-9.20539477031789i</v>
      </c>
      <c r="S187" s="81">
        <f t="shared" si="57"/>
        <v>24.170796529553058</v>
      </c>
      <c r="T187" s="81">
        <f t="shared" si="58"/>
        <v>-34.716176707716329</v>
      </c>
      <c r="U187" s="81" t="str">
        <f>IMPRODUCT(COMPLEX(-1,0),IMDIV(COMPLEX(1,C187*Calculations!$B$248*Calculations!$B$250),IMPRODUCT(COMPLEX(0,C187*Calculations!$B$237),COMPLEX((Calculations!$B$250+Calculations!$B$252),C187*Calculations!$B$248*Calculations!$B$250*Calculations!$B$252))))</f>
        <v>-1.49390514871962+0.970607058188138i</v>
      </c>
      <c r="V187" s="81">
        <f t="shared" si="59"/>
        <v>5.0158375050372914</v>
      </c>
      <c r="W187" s="81">
        <f t="shared" si="60"/>
        <v>146.98776225047177</v>
      </c>
      <c r="X187" s="81">
        <f>Calculations!$B$216/(Calculations!$B$216+Calculations!$B$218)</f>
        <v>0.80079681274900394</v>
      </c>
      <c r="Y187" s="81" t="str">
        <f t="shared" si="61"/>
        <v>-8.73957126152813+21.3394142457975i</v>
      </c>
      <c r="Z187" s="81">
        <f t="shared" si="62"/>
        <v>27.257080753379338</v>
      </c>
      <c r="AA187" s="81">
        <f t="shared" si="63"/>
        <v>112.27158554275545</v>
      </c>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c r="BG187" s="44"/>
      <c r="BH187" s="44"/>
      <c r="BI187" s="44"/>
      <c r="BJ187" s="44"/>
      <c r="BK187" s="44"/>
      <c r="BL187" s="44"/>
      <c r="BM187" s="44"/>
      <c r="BN187" s="44"/>
      <c r="BO187" s="44"/>
      <c r="BP187" s="44"/>
      <c r="BQ187" s="44"/>
      <c r="BR187" s="44"/>
      <c r="BS187" s="44"/>
      <c r="BT187" s="44"/>
      <c r="BU187" s="44"/>
      <c r="BV187" s="44"/>
      <c r="BW187" s="44"/>
      <c r="BX187" s="44"/>
      <c r="BY187" s="44"/>
      <c r="BZ187" s="44"/>
      <c r="CA187" s="44"/>
      <c r="CB187" s="44"/>
      <c r="CC187" s="44"/>
      <c r="CD187" s="44"/>
      <c r="CE187" s="44"/>
      <c r="CF187" s="44"/>
      <c r="CG187" s="44"/>
      <c r="CH187" s="44"/>
      <c r="CI187" s="44"/>
      <c r="CJ187" s="44"/>
      <c r="CK187" s="44"/>
      <c r="CL187" s="44"/>
      <c r="CM187" s="44"/>
      <c r="CN187" s="44"/>
      <c r="CO187" s="44"/>
      <c r="CP187" s="44"/>
    </row>
    <row r="188" spans="2:94">
      <c r="B188" s="1">
        <v>129.15496650148842</v>
      </c>
      <c r="C188" s="1">
        <f t="shared" si="44"/>
        <v>811.50458787142372</v>
      </c>
      <c r="D188" s="80" t="str">
        <f>IMDIV(COMPLEX((POWER(V48_Nom,2)/(V12_Min*Calculations!$B$28*np)),((Zo_Boost_Cout*Zo_Boost_Resr*POWER(V48_Nom,2))/(V12_Min*Calculations!$B$28*np))*C188),COMPLEX(1,((Zo_Boost_Cout*Zo_Boost_Resr)+((Zo_Boost_Cout*POWER(V48_Nom,2))/(V12_Min*Calculations!$B$28*np)))*C188))</f>
        <v>0.936539280199116-1.44819051884698i</v>
      </c>
      <c r="E188" s="1">
        <f t="shared" si="45"/>
        <v>4.7339376590366404</v>
      </c>
      <c r="F188" s="1">
        <f t="shared" si="46"/>
        <v>-57.109405311382709</v>
      </c>
      <c r="G188" s="1" t="str">
        <f>IMDIV(IMSUM(COMPLEX(V48_Nom,0),IMPRODUCT(COMPLEX(np*(Calculations!$B$28*(V12_Min/V48_Nom)),0),D188)),IMSUM(IMPRODUCT(COMPLEX(((V12_Min/V48_Nom)^2),0),D188),COMPLEX(Rcs/np,(Lm*C188)/np)))</f>
        <v>492.923201548064+371.864500413538i</v>
      </c>
      <c r="H188" s="1">
        <f t="shared" si="50"/>
        <v>55.81217244459264</v>
      </c>
      <c r="I188" s="1">
        <f t="shared" si="51"/>
        <v>37.031141895849984</v>
      </c>
      <c r="J188" s="82" t="str">
        <f>IMPRODUCT(COMPLEX(-1,0),IMDIV(IMSUM(IMSUB(IMPRODUCT(COMPLEX((1-(V12_Min/V48_Nom))*V48_Nom,0),D188),IMPRODUCT(COMPLEX(V48_Nom,0),D188)),IMPRODUCT(COMPLEX(0,Calculations!$B$28*Lm*C188),D188)),IMSUM(IMPRODUCT(COMPLEX(((V12_Min/V48_Nom)^2),0),D188),COMPLEX(Rcs/np,(Lm*C188)/np))))</f>
        <v>194.336694307112-4.51046069224115i</v>
      </c>
      <c r="K188" s="81">
        <f t="shared" si="52"/>
        <v>45.77343505579978</v>
      </c>
      <c r="L188" s="81">
        <f t="shared" si="53"/>
        <v>-1.3295686300561291</v>
      </c>
      <c r="M188" s="1">
        <f t="shared" si="47"/>
        <v>0.66666666666666663</v>
      </c>
      <c r="N188" s="81">
        <f t="shared" si="48"/>
        <v>0.02</v>
      </c>
      <c r="O188" s="81" t="str">
        <f t="shared" si="49"/>
        <v>0.352868275512853-1.22110901733923i</v>
      </c>
      <c r="P188" s="81">
        <f t="shared" si="54"/>
        <v>2.0834009492006658</v>
      </c>
      <c r="Q188" s="81">
        <f t="shared" si="55"/>
        <v>-73.882101848876303</v>
      </c>
      <c r="R188" s="81" t="str">
        <f t="shared" si="56"/>
        <v>10.9518516289131-9.65817017765271i</v>
      </c>
      <c r="S188" s="81">
        <f t="shared" si="57"/>
        <v>23.288346712847346</v>
      </c>
      <c r="T188" s="81">
        <f t="shared" si="58"/>
        <v>-41.408282849723882</v>
      </c>
      <c r="U188" s="81" t="str">
        <f>IMPRODUCT(COMPLEX(-1,0),IMDIV(COMPLEX(1,C188*Calculations!$B$248*Calculations!$B$250),IMPRODUCT(COMPLEX(0,C188*Calculations!$B$237),COMPLEX((Calculations!$B$250+Calculations!$B$252),C188*Calculations!$B$248*Calculations!$B$250*Calculations!$B$252))))</f>
        <v>-1.49388311930227+0.755136281770837i</v>
      </c>
      <c r="V188" s="81">
        <f t="shared" si="59"/>
        <v>4.4745535583669245</v>
      </c>
      <c r="W188" s="81">
        <f t="shared" si="60"/>
        <v>153.18406331983928</v>
      </c>
      <c r="X188" s="81">
        <f>Calculations!$B$216/(Calculations!$B$216+Calculations!$B$218)</f>
        <v>0.80079681274900394</v>
      </c>
      <c r="Y188" s="81" t="str">
        <f t="shared" si="61"/>
        <v>-7.26126638618173+18.1767406365369i</v>
      </c>
      <c r="Z188" s="81">
        <f t="shared" si="62"/>
        <v>25.833346990003271</v>
      </c>
      <c r="AA188" s="81">
        <f t="shared" si="63"/>
        <v>111.77578047011545</v>
      </c>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c r="BH188" s="44"/>
      <c r="BI188" s="44"/>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row>
    <row r="189" spans="2:94">
      <c r="B189" s="1">
        <v>166.81005372000601</v>
      </c>
      <c r="C189" s="1">
        <f t="shared" si="44"/>
        <v>1048.0984786233792</v>
      </c>
      <c r="D189" s="80" t="str">
        <f>IMDIV(COMPLEX((POWER(V48_Nom,2)/(V12_Min*Calculations!$B$28*np)),((Zo_Boost_Cout*Zo_Boost_Resr*POWER(V48_Nom,2))/(V12_Min*Calculations!$B$28*np))*C189),COMPLEX(1,((Zo_Boost_Cout*Zo_Boost_Resr)+((Zo_Boost_Cout*POWER(V48_Nom,2))/(V12_Min*Calculations!$B$28*np)))*C189))</f>
        <v>0.638559042901773-1.26889584762167i</v>
      </c>
      <c r="E189" s="1">
        <f t="shared" si="45"/>
        <v>3.048898096538577</v>
      </c>
      <c r="F189" s="1">
        <f t="shared" si="46"/>
        <v>-63.286634441868308</v>
      </c>
      <c r="G189" s="1" t="str">
        <f>IMDIV(IMSUM(COMPLEX(V48_Nom,0),IMPRODUCT(COMPLEX(np*(Calculations!$B$28*(V12_Min/V48_Nom)),0),D189)),IMSUM(IMPRODUCT(COMPLEX(((V12_Min/V48_Nom)^2),0),D189),COMPLEX(Rcs/np,(Lm*C189)/np)))</f>
        <v>502.709407790455+484.936147774962i</v>
      </c>
      <c r="H189" s="1">
        <f t="shared" si="50"/>
        <v>56.88312851443321</v>
      </c>
      <c r="I189" s="1">
        <f t="shared" si="51"/>
        <v>43.969040181783164</v>
      </c>
      <c r="J189" s="82" t="str">
        <f>IMPRODUCT(COMPLEX(-1,0),IMDIV(IMSUM(IMSUB(IMPRODUCT(COMPLEX((1-(V12_Min/V48_Nom))*V48_Nom,0),D189),IMPRODUCT(COMPLEX(V48_Nom,0),D189)),IMPRODUCT(COMPLEX(0,Calculations!$B$28*Lm*C189),D189)),IMSUM(IMPRODUCT(COMPLEX(((V12_Min/V48_Nom)^2),0),D189),COMPLEX(Rcs/np,(Lm*C189)/np))))</f>
        <v>196.262998749864-5.93141324784183i</v>
      </c>
      <c r="K189" s="81">
        <f t="shared" si="52"/>
        <v>45.860733444022337</v>
      </c>
      <c r="L189" s="81">
        <f t="shared" si="53"/>
        <v>-1.7310524048969402</v>
      </c>
      <c r="M189" s="1">
        <f t="shared" si="47"/>
        <v>0.66666666666666663</v>
      </c>
      <c r="N189" s="81">
        <f t="shared" si="48"/>
        <v>0.02</v>
      </c>
      <c r="O189" s="81" t="str">
        <f t="shared" si="49"/>
        <v>0.352866263479324-0.94599361442321i</v>
      </c>
      <c r="P189" s="81">
        <f t="shared" si="54"/>
        <v>8.3525185792531431E-2</v>
      </c>
      <c r="Q189" s="81">
        <f t="shared" si="55"/>
        <v>-69.543918609913518</v>
      </c>
      <c r="R189" s="81" t="str">
        <f t="shared" si="56"/>
        <v>8.55785101561798-9.53749805713563i</v>
      </c>
      <c r="S189" s="81">
        <f t="shared" si="57"/>
        <v>22.153749597710359</v>
      </c>
      <c r="T189" s="81">
        <f t="shared" si="58"/>
        <v>-48.098857035813907</v>
      </c>
      <c r="U189" s="81" t="str">
        <f>IMPRODUCT(COMPLEX(-1,0),IMDIV(COMPLEX(1,C189*Calculations!$B$248*Calculations!$B$250),IMPRODUCT(COMPLEX(0,C189*Calculations!$B$237),COMPLEX((Calculations!$B$250+Calculations!$B$252),C189*Calculations!$B$248*Calculations!$B$250*Calculations!$B$252))))</f>
        <v>-1.49384637346513+0.589363367544386i</v>
      </c>
      <c r="V189" s="81">
        <f t="shared" si="59"/>
        <v>4.1143890866266029</v>
      </c>
      <c r="W189" s="81">
        <f t="shared" si="60"/>
        <v>158.46940582950478</v>
      </c>
      <c r="X189" s="81">
        <f>Calculations!$B$216/(Calculations!$B$216+Calculations!$B$218)</f>
        <v>0.80079681274900394</v>
      </c>
      <c r="Y189" s="81" t="str">
        <f t="shared" si="61"/>
        <v>-5.73615780485376+15.4483641290685i</v>
      </c>
      <c r="Z189" s="81">
        <f t="shared" si="62"/>
        <v>24.338585403125961</v>
      </c>
      <c r="AA189" s="81">
        <f t="shared" si="63"/>
        <v>110.37054879369086</v>
      </c>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c r="BI189" s="44"/>
      <c r="BJ189" s="44"/>
      <c r="BK189" s="44"/>
      <c r="BL189" s="44"/>
      <c r="BM189" s="44"/>
      <c r="BN189" s="44"/>
      <c r="BO189" s="44"/>
      <c r="BP189" s="44"/>
      <c r="BQ189" s="44"/>
      <c r="BR189" s="44"/>
      <c r="BS189" s="44"/>
      <c r="BT189" s="44"/>
      <c r="BU189" s="44"/>
      <c r="BV189" s="44"/>
      <c r="BW189" s="44"/>
      <c r="BX189" s="44"/>
      <c r="BY189" s="44"/>
      <c r="BZ189" s="44"/>
      <c r="CA189" s="44"/>
      <c r="CB189" s="44"/>
      <c r="CC189" s="44"/>
      <c r="CD189" s="44"/>
      <c r="CE189" s="44"/>
      <c r="CF189" s="44"/>
      <c r="CG189" s="44"/>
      <c r="CH189" s="44"/>
      <c r="CI189" s="44"/>
      <c r="CJ189" s="44"/>
      <c r="CK189" s="44"/>
      <c r="CL189" s="44"/>
      <c r="CM189" s="44"/>
      <c r="CN189" s="44"/>
      <c r="CO189" s="44"/>
      <c r="CP189" s="44"/>
    </row>
    <row r="190" spans="2:94">
      <c r="B190" s="1">
        <v>215.44346900318828</v>
      </c>
      <c r="C190" s="1">
        <f t="shared" si="44"/>
        <v>1353.6712389686331</v>
      </c>
      <c r="D190" s="80" t="str">
        <f>IMDIV(COMPLEX((POWER(V48_Nom,2)/(V12_Min*Calculations!$B$28*np)),((Zo_Boost_Cout*Zo_Boost_Resr*POWER(V48_Nom,2))/(V12_Min*Calculations!$B$28*np))*C190),COMPLEX(1,((Zo_Boost_Cout*Zo_Boost_Resr)+((Zo_Boost_Cout*POWER(V48_Nom,2))/(V12_Min*Calculations!$B$28*np)))*C190))</f>
        <v>0.41908674024683-1.06664022667132i</v>
      </c>
      <c r="E190" s="1">
        <f t="shared" si="45"/>
        <v>1.1838215462148576</v>
      </c>
      <c r="F190" s="1">
        <f t="shared" si="46"/>
        <v>-68.549959878783227</v>
      </c>
      <c r="G190" s="1" t="str">
        <f>IMDIV(IMSUM(COMPLEX(V48_Nom,0),IMPRODUCT(COMPLEX(np*(Calculations!$B$28*(V12_Min/V48_Nom)),0),D190)),IMSUM(IMPRODUCT(COMPLEX(((V12_Min/V48_Nom)^2),0),D190),COMPLEX(Rcs/np,(Lm*C190)/np)))</f>
        <v>519.697365690668+636.603432855282i</v>
      </c>
      <c r="H190" s="1">
        <f t="shared" si="50"/>
        <v>58.295284428830058</v>
      </c>
      <c r="I190" s="1">
        <f t="shared" si="51"/>
        <v>50.77318662762508</v>
      </c>
      <c r="J190" s="82" t="str">
        <f>IMPRODUCT(COMPLEX(-1,0),IMDIV(IMSUM(IMSUB(IMPRODUCT(COMPLEX((1-(V12_Min/V48_Nom))*V48_Nom,0),D190),IMPRODUCT(COMPLEX(V48_Nom,0),D190)),IMPRODUCT(COMPLEX(0,Calculations!$B$28*Lm*C190),D190)),IMSUM(IMPRODUCT(COMPLEX(((V12_Min/V48_Nom)^2),0),D190),COMPLEX(Rcs/np,(Lm*C190)/np))))</f>
        <v>199.560159979964-7.8979074616601i</v>
      </c>
      <c r="K190" s="81">
        <f t="shared" si="52"/>
        <v>46.008273923891629</v>
      </c>
      <c r="L190" s="81">
        <f t="shared" si="53"/>
        <v>-2.2663878731022229</v>
      </c>
      <c r="M190" s="1">
        <f t="shared" si="47"/>
        <v>0.66666666666666663</v>
      </c>
      <c r="N190" s="81">
        <f t="shared" si="48"/>
        <v>0.02</v>
      </c>
      <c r="O190" s="81" t="str">
        <f t="shared" si="49"/>
        <v>0.352862907256175-0.733137207693827i</v>
      </c>
      <c r="P190" s="81">
        <f t="shared" si="54"/>
        <v>-1.7914043829747324</v>
      </c>
      <c r="Q190" s="81">
        <f t="shared" si="55"/>
        <v>-64.298236200322805</v>
      </c>
      <c r="R190" s="81" t="str">
        <f t="shared" si="56"/>
        <v>6.37700359879189-8.90551357597221i</v>
      </c>
      <c r="S190" s="81">
        <f t="shared" si="57"/>
        <v>20.790883946417765</v>
      </c>
      <c r="T190" s="81">
        <f t="shared" si="58"/>
        <v>-54.394546940535598</v>
      </c>
      <c r="U190" s="81" t="str">
        <f>IMPRODUCT(COMPLEX(-1,0),IMDIV(COMPLEX(1,C190*Calculations!$B$248*Calculations!$B$250),IMPRODUCT(COMPLEX(0,C190*Calculations!$B$237),COMPLEX((Calculations!$B$250+Calculations!$B$252),C190*Calculations!$B$248*Calculations!$B$250*Calculations!$B$252))))</f>
        <v>-1.49378508173706+0.462378032128966i</v>
      </c>
      <c r="V190" s="81">
        <f t="shared" si="59"/>
        <v>3.8831213411880765</v>
      </c>
      <c r="W190" s="81">
        <f t="shared" si="60"/>
        <v>162.80089933316734</v>
      </c>
      <c r="X190" s="81">
        <f>Calculations!$B$216/(Calculations!$B$216+Calculations!$B$218)</f>
        <v>0.80079681274900394</v>
      </c>
      <c r="Y190" s="81" t="str">
        <f t="shared" si="61"/>
        <v>-4.33083648980204+13.0141571700257i</v>
      </c>
      <c r="Z190" s="81">
        <f t="shared" si="62"/>
        <v>22.744452006394841</v>
      </c>
      <c r="AA190" s="81">
        <f t="shared" si="63"/>
        <v>108.40635239263177</v>
      </c>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c r="BQ190" s="44"/>
      <c r="BR190" s="44"/>
      <c r="BS190" s="44"/>
      <c r="BT190" s="44"/>
      <c r="BU190" s="44"/>
      <c r="BV190" s="44"/>
      <c r="BW190" s="44"/>
      <c r="BX190" s="44"/>
      <c r="BY190" s="44"/>
      <c r="BZ190" s="44"/>
      <c r="CA190" s="44"/>
      <c r="CB190" s="44"/>
      <c r="CC190" s="44"/>
      <c r="CD190" s="44"/>
      <c r="CE190" s="44"/>
      <c r="CF190" s="44"/>
      <c r="CG190" s="44"/>
      <c r="CH190" s="44"/>
      <c r="CI190" s="44"/>
      <c r="CJ190" s="44"/>
      <c r="CK190" s="44"/>
      <c r="CL190" s="44"/>
      <c r="CM190" s="44"/>
      <c r="CN190" s="44"/>
      <c r="CO190" s="44"/>
      <c r="CP190" s="44"/>
    </row>
    <row r="191" spans="2:94">
      <c r="B191" s="1">
        <v>278.25594022071277</v>
      </c>
      <c r="C191" s="1">
        <f t="shared" si="44"/>
        <v>1748.3336352302238</v>
      </c>
      <c r="D191" s="80" t="str">
        <f>IMDIV(COMPLEX((POWER(V48_Nom,2)/(V12_Min*Calculations!$B$28*np)),((Zo_Boost_Cout*Zo_Boost_Resr*POWER(V48_Nom,2))/(V12_Min*Calculations!$B$28*np))*C191),COMPLEX(1,((Zo_Boost_Cout*Zo_Boost_Resr)+((Zo_Boost_Cout*POWER(V48_Nom,2))/(V12_Min*Calculations!$B$28*np)))*C191))</f>
        <v>0.268508657057061-0.870578666150526i</v>
      </c>
      <c r="E191" s="1">
        <f t="shared" si="45"/>
        <v>-0.80919755584454744</v>
      </c>
      <c r="F191" s="1">
        <f t="shared" si="46"/>
        <v>-72.858903515315717</v>
      </c>
      <c r="G191" s="1" t="str">
        <f>IMDIV(IMSUM(COMPLEX(V48_Nom,0),IMPRODUCT(COMPLEX(np*(Calculations!$B$28*(V12_Min/V48_Nom)),0),D191)),IMSUM(IMPRODUCT(COMPLEX(((V12_Min/V48_Nom)^2),0),D191),COMPLEX(Rcs/np,(Lm*C191)/np)))</f>
        <v>550.021347703395+845.329874773787i</v>
      </c>
      <c r="H191" s="1">
        <f t="shared" si="50"/>
        <v>60.073662504702725</v>
      </c>
      <c r="I191" s="1">
        <f t="shared" si="51"/>
        <v>56.949603907440462</v>
      </c>
      <c r="J191" s="82" t="str">
        <f>IMPRODUCT(COMPLEX(-1,0),IMDIV(IMSUM(IMSUB(IMPRODUCT(COMPLEX((1-(V12_Min/V48_Nom))*V48_Nom,0),D191),IMPRODUCT(COMPLEX(V48_Nom,0),D191)),IMPRODUCT(COMPLEX(0,Calculations!$B$28*Lm*C191),D191)),IMSUM(IMPRODUCT(COMPLEX(((V12_Min/V48_Nom)^2),0),D191),COMPLEX(Rcs/np,(Lm*C191)/np))))</f>
        <v>205.30599277524-10.746210157862i</v>
      </c>
      <c r="K191" s="81">
        <f t="shared" si="52"/>
        <v>46.25991474449652</v>
      </c>
      <c r="L191" s="81">
        <f t="shared" si="53"/>
        <v>-2.9962647809085476</v>
      </c>
      <c r="M191" s="1">
        <f t="shared" si="47"/>
        <v>0.66666666666666663</v>
      </c>
      <c r="N191" s="81">
        <f t="shared" si="48"/>
        <v>0.02</v>
      </c>
      <c r="O191" s="81" t="str">
        <f t="shared" si="49"/>
        <v>0.352857308880607-0.568530992350642i</v>
      </c>
      <c r="P191" s="81">
        <f t="shared" si="54"/>
        <v>-3.4897820836385582</v>
      </c>
      <c r="Q191" s="81">
        <f t="shared" si="55"/>
        <v>-58.174299239810843</v>
      </c>
      <c r="R191" s="81" t="str">
        <f t="shared" si="56"/>
        <v>4.5771418888494-7.94973142737312i</v>
      </c>
      <c r="S191" s="81">
        <f t="shared" si="57"/>
        <v>19.250461601759646</v>
      </c>
      <c r="T191" s="81">
        <f t="shared" si="58"/>
        <v>-60.068359363471096</v>
      </c>
      <c r="U191" s="81" t="str">
        <f>IMPRODUCT(COMPLEX(-1,0),IMDIV(COMPLEX(1,C191*Calculations!$B$248*Calculations!$B$250),IMPRODUCT(COMPLEX(0,C191*Calculations!$B$237),COMPLEX((Calculations!$B$250+Calculations!$B$252),C191*Calculations!$B$248*Calculations!$B$250*Calculations!$B$252))))</f>
        <v>-1.49368285216414+0.365822486816011i</v>
      </c>
      <c r="V191" s="81">
        <f t="shared" si="59"/>
        <v>3.7381545412729622</v>
      </c>
      <c r="W191" s="81">
        <f t="shared" si="60"/>
        <v>166.23839686628429</v>
      </c>
      <c r="X191" s="81">
        <f>Calculations!$B$216/(Calculations!$B$216+Calculations!$B$218)</f>
        <v>0.80079681274900394</v>
      </c>
      <c r="Y191" s="81" t="str">
        <f t="shared" si="61"/>
        <v>-3.14601662961799+10.8498350082626i</v>
      </c>
      <c r="Z191" s="81">
        <f t="shared" si="62"/>
        <v>21.059062861821644</v>
      </c>
      <c r="AA191" s="81">
        <f t="shared" si="63"/>
        <v>106.17003750281319</v>
      </c>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4"/>
      <c r="BW191" s="44"/>
      <c r="BX191" s="44"/>
      <c r="BY191" s="44"/>
      <c r="BZ191" s="44"/>
      <c r="CA191" s="44"/>
      <c r="CB191" s="44"/>
      <c r="CC191" s="44"/>
      <c r="CD191" s="44"/>
      <c r="CE191" s="44"/>
      <c r="CF191" s="44"/>
      <c r="CG191" s="44"/>
      <c r="CH191" s="44"/>
      <c r="CI191" s="44"/>
      <c r="CJ191" s="44"/>
      <c r="CK191" s="44"/>
      <c r="CL191" s="44"/>
      <c r="CM191" s="44"/>
      <c r="CN191" s="44"/>
      <c r="CO191" s="44"/>
      <c r="CP191" s="44"/>
    </row>
    <row r="192" spans="2:94">
      <c r="B192" s="1">
        <v>359.38136638046274</v>
      </c>
      <c r="C192" s="1">
        <f t="shared" si="44"/>
        <v>2258.0597209158473</v>
      </c>
      <c r="D192" s="80" t="str">
        <f>IMDIV(COMPLEX((POWER(V48_Nom,2)/(V12_Min*Calculations!$B$28*np)),((Zo_Boost_Cout*Zo_Boost_Resr*POWER(V48_Nom,2))/(V12_Min*Calculations!$B$28*np))*C192),COMPLEX(1,((Zo_Boost_Cout*Zo_Boost_Resr)+((Zo_Boost_Cout*POWER(V48_Nom,2))/(V12_Min*Calculations!$B$28*np)))*C192))</f>
        <v>0.170159213546399-0.696671590559464i</v>
      </c>
      <c r="E192" s="1">
        <f t="shared" si="45"/>
        <v>-2.8877886249840898</v>
      </c>
      <c r="F192" s="1">
        <f t="shared" si="46"/>
        <v>-76.274463902644314</v>
      </c>
      <c r="G192" s="1" t="str">
        <f>IMDIV(IMSUM(COMPLEX(V48_Nom,0),IMPRODUCT(COMPLEX(np*(Calculations!$B$28*(V12_Min/V48_Nom)),0),D192)),IMSUM(IMPRODUCT(COMPLEX(((V12_Min/V48_Nom)^2),0),D192),COMPLEX(Rcs/np,(Lm*C192)/np)))</f>
        <v>606.870735006659+1145.3982131711i</v>
      </c>
      <c r="H192" s="1">
        <f t="shared" si="50"/>
        <v>62.253685164210296</v>
      </c>
      <c r="I192" s="1">
        <f t="shared" si="51"/>
        <v>62.083843223858175</v>
      </c>
      <c r="J192" s="82" t="str">
        <f>IMPRODUCT(COMPLEX(-1,0),IMDIV(IMSUM(IMSUB(IMPRODUCT(COMPLEX((1-(V12_Min/V48_Nom))*V48_Nom,0),D192),IMPRODUCT(COMPLEX(V48_Nom,0),D192)),IMPRODUCT(COMPLEX(0,Calculations!$B$28*Lm*C192),D192)),IMSUM(IMPRODUCT(COMPLEX(((V12_Min/V48_Nom)^2),0),D192),COMPLEX(Rcs/np,(Lm*C192)/np))))</f>
        <v>215.637930510544-15.1957591971252i</v>
      </c>
      <c r="K192" s="81">
        <f t="shared" si="52"/>
        <v>46.696016190297456</v>
      </c>
      <c r="L192" s="81">
        <f t="shared" si="53"/>
        <v>-4.0309047908163924</v>
      </c>
      <c r="M192" s="1">
        <f t="shared" si="47"/>
        <v>0.66666666666666663</v>
      </c>
      <c r="N192" s="81">
        <f t="shared" si="48"/>
        <v>0.02</v>
      </c>
      <c r="O192" s="81" t="str">
        <f t="shared" si="49"/>
        <v>0.352847970622616-0.441341656254245i</v>
      </c>
      <c r="P192" s="81">
        <f t="shared" si="54"/>
        <v>-4.9582264313532161</v>
      </c>
      <c r="Q192" s="81">
        <f t="shared" si="55"/>
        <v>-51.35803516360378</v>
      </c>
      <c r="R192" s="81" t="str">
        <f t="shared" si="56"/>
        <v>3.18666001788773-6.87222098647964i</v>
      </c>
      <c r="S192" s="81">
        <f t="shared" si="57"/>
        <v>17.587773715991137</v>
      </c>
      <c r="T192" s="81">
        <f t="shared" si="58"/>
        <v>-65.122768669833562</v>
      </c>
      <c r="U192" s="81" t="str">
        <f>IMPRODUCT(COMPLEX(-1,0),IMDIV(COMPLEX(1,C192*Calculations!$B$248*Calculations!$B$250),IMPRODUCT(COMPLEX(0,C192*Calculations!$B$237),COMPLEX((Calculations!$B$250+Calculations!$B$252),C192*Calculations!$B$248*Calculations!$B$250*Calculations!$B$252))))</f>
        <v>-1.49351235409299+0.293341100038772i</v>
      </c>
      <c r="V192" s="81">
        <f t="shared" si="59"/>
        <v>3.6485632979908802</v>
      </c>
      <c r="W192" s="81">
        <f t="shared" si="60"/>
        <v>168.88797149513118</v>
      </c>
      <c r="X192" s="81">
        <f>Calculations!$B$216/(Calculations!$B$216+Calculations!$B$218)</f>
        <v>0.80079681274900394</v>
      </c>
      <c r="Y192" s="81" t="str">
        <f t="shared" si="61"/>
        <v>-2.19691497795352+8.96774336649682i</v>
      </c>
      <c r="Z192" s="81">
        <f t="shared" si="62"/>
        <v>19.306783732771024</v>
      </c>
      <c r="AA192" s="81">
        <f t="shared" si="63"/>
        <v>103.76520282529764</v>
      </c>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c r="BH192" s="44"/>
      <c r="BI192" s="44"/>
      <c r="BJ192" s="44"/>
      <c r="BK192" s="44"/>
      <c r="BL192" s="44"/>
      <c r="BM192" s="44"/>
      <c r="BN192" s="44"/>
      <c r="BO192" s="44"/>
      <c r="BP192" s="44"/>
      <c r="BQ192" s="44"/>
      <c r="BR192" s="44"/>
      <c r="BS192" s="44"/>
      <c r="BT192" s="44"/>
      <c r="BU192" s="44"/>
      <c r="BV192" s="44"/>
      <c r="BW192" s="44"/>
      <c r="BX192" s="44"/>
      <c r="BY192" s="44"/>
      <c r="BZ192" s="44"/>
      <c r="CA192" s="44"/>
      <c r="CB192" s="44"/>
      <c r="CC192" s="44"/>
      <c r="CD192" s="44"/>
      <c r="CE192" s="44"/>
      <c r="CF192" s="44"/>
      <c r="CG192" s="44"/>
      <c r="CH192" s="44"/>
      <c r="CI192" s="44"/>
      <c r="CJ192" s="44"/>
      <c r="CK192" s="44"/>
      <c r="CL192" s="44"/>
      <c r="CM192" s="44"/>
      <c r="CN192" s="44"/>
      <c r="CO192" s="44"/>
      <c r="CP192" s="44"/>
    </row>
    <row r="193" spans="2:94">
      <c r="B193" s="1">
        <v>464.15888336127819</v>
      </c>
      <c r="C193" s="1">
        <f t="shared" si="44"/>
        <v>2916.3962761324665</v>
      </c>
      <c r="D193" s="80" t="str">
        <f>IMDIV(COMPLEX((POWER(V48_Nom,2)/(V12_Min*Calculations!$B$28*np)),((Zo_Boost_Cout*Zo_Boost_Resr*POWER(V48_Nom,2))/(V12_Min*Calculations!$B$28*np))*C193),COMPLEX(1,((Zo_Boost_Cout*Zo_Boost_Resr)+((Zo_Boost_Cout*POWER(V48_Nom,2))/(V12_Min*Calculations!$B$28*np)))*C193))</f>
        <v>0.107971504744967-0.550478890848409i</v>
      </c>
      <c r="E193" s="1">
        <f t="shared" si="45"/>
        <v>-5.0212415795080965</v>
      </c>
      <c r="F193" s="1">
        <f t="shared" si="46"/>
        <v>-78.902822369431206</v>
      </c>
      <c r="G193" s="1" t="str">
        <f>IMDIV(IMSUM(COMPLEX(V48_Nom,0),IMPRODUCT(COMPLEX(np*(Calculations!$B$28*(V12_Min/V48_Nom)),0),D193)),IMSUM(IMPRODUCT(COMPLEX(((V12_Min/V48_Nom)^2),0),D193),COMPLEX(Rcs/np,(Lm*C193)/np)))</f>
        <v>723.433592107104+1610.66110431577i</v>
      </c>
      <c r="H193" s="1">
        <f t="shared" si="50"/>
        <v>64.938183526913605</v>
      </c>
      <c r="I193" s="1">
        <f t="shared" si="51"/>
        <v>65.812615040843838</v>
      </c>
      <c r="J193" s="82" t="str">
        <f>IMPRODUCT(COMPLEX(-1,0),IMDIV(IMSUM(IMSUB(IMPRODUCT(COMPLEX((1-(V12_Min/V48_Nom))*V48_Nom,0),D193),IMPRODUCT(COMPLEX(V48_Nom,0),D193)),IMPRODUCT(COMPLEX(0,Calculations!$B$28*Lm*C193),D193)),IMSUM(IMPRODUCT(COMPLEX(((V12_Min/V48_Nom)^2),0),D193),COMPLEX(Rcs/np,(Lm*C193)/np))))</f>
        <v>235.297527403934-23.0911471939107i</v>
      </c>
      <c r="K193" s="81">
        <f t="shared" si="52"/>
        <v>47.473972597964277</v>
      </c>
      <c r="L193" s="81">
        <f t="shared" si="53"/>
        <v>-5.6048291827696017</v>
      </c>
      <c r="M193" s="1">
        <f t="shared" si="47"/>
        <v>0.66666666666666663</v>
      </c>
      <c r="N193" s="81">
        <f t="shared" si="48"/>
        <v>0.02</v>
      </c>
      <c r="O193" s="81" t="str">
        <f t="shared" si="49"/>
        <v>0.35283239456931-0.343198387275249i</v>
      </c>
      <c r="P193" s="81">
        <f t="shared" si="54"/>
        <v>-6.1568990690657719</v>
      </c>
      <c r="Q193" s="81">
        <f t="shared" si="55"/>
        <v>-44.206999567135036</v>
      </c>
      <c r="R193" s="81" t="str">
        <f t="shared" si="56"/>
        <v>2.14602925793032-5.81160795475332i</v>
      </c>
      <c r="S193" s="81">
        <f t="shared" si="57"/>
        <v>15.841075570990768</v>
      </c>
      <c r="T193" s="81">
        <f t="shared" si="58"/>
        <v>-69.732525850598108</v>
      </c>
      <c r="U193" s="81" t="str">
        <f>IMPRODUCT(COMPLEX(-1,0),IMDIV(COMPLEX(1,C193*Calculations!$B$248*Calculations!$B$250),IMPRODUCT(COMPLEX(0,C193*Calculations!$B$237),COMPLEX((Calculations!$B$250+Calculations!$B$252),C193*Calculations!$B$248*Calculations!$B$250*Calculations!$B$252))))</f>
        <v>-1.4932280327698+0.240161501810025i</v>
      </c>
      <c r="V193" s="81">
        <f t="shared" si="59"/>
        <v>3.5934354166019138</v>
      </c>
      <c r="W193" s="81">
        <f t="shared" si="60"/>
        <v>170.86314977678316</v>
      </c>
      <c r="X193" s="81">
        <f>Calculations!$B$216/(Calculations!$B$216+Calculations!$B$218)</f>
        <v>0.80079681274900394</v>
      </c>
      <c r="Y193" s="81" t="str">
        <f t="shared" si="61"/>
        <v>-1.44847050637832+7.362085076202i</v>
      </c>
      <c r="Z193" s="81">
        <f t="shared" si="62"/>
        <v>17.504957706381695</v>
      </c>
      <c r="AA193" s="81">
        <f t="shared" si="63"/>
        <v>101.13062392618511</v>
      </c>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c r="BH193" s="44"/>
      <c r="BI193" s="44"/>
      <c r="BJ193" s="44"/>
      <c r="BK193" s="44"/>
      <c r="BL193" s="44"/>
      <c r="BM193" s="44"/>
      <c r="BN193" s="44"/>
      <c r="BO193" s="44"/>
      <c r="BP193" s="44"/>
      <c r="BQ193" s="44"/>
      <c r="BR193" s="44"/>
      <c r="BS193" s="44"/>
      <c r="BT193" s="44"/>
      <c r="BU193" s="44"/>
      <c r="BV193" s="44"/>
      <c r="BW193" s="44"/>
      <c r="BX193" s="44"/>
      <c r="BY193" s="44"/>
      <c r="BZ193" s="44"/>
      <c r="CA193" s="44"/>
      <c r="CB193" s="44"/>
      <c r="CC193" s="44"/>
      <c r="CD193" s="44"/>
      <c r="CE193" s="44"/>
      <c r="CF193" s="44"/>
      <c r="CG193" s="44"/>
      <c r="CH193" s="44"/>
      <c r="CI193" s="44"/>
      <c r="CJ193" s="44"/>
      <c r="CK193" s="44"/>
      <c r="CL193" s="44"/>
      <c r="CM193" s="44"/>
      <c r="CN193" s="44"/>
      <c r="CO193" s="44"/>
      <c r="CP193" s="44"/>
    </row>
    <row r="194" spans="2:94">
      <c r="B194" s="1">
        <v>599.48425031894124</v>
      </c>
      <c r="C194" s="1">
        <f t="shared" si="44"/>
        <v>3766.6706334895407</v>
      </c>
      <c r="D194" s="80" t="str">
        <f>IMDIV(COMPLEX((POWER(V48_Nom,2)/(V12_Min*Calculations!$B$28*np)),((Zo_Boost_Cout*Zo_Boost_Resr*POWER(V48_Nom,2))/(V12_Min*Calculations!$B$28*np))*C194),COMPLEX(1,((Zo_Boost_Cout*Zo_Boost_Resr)+((Zo_Boost_Cout*POWER(V48_Nom,2))/(V12_Min*Calculations!$B$28*np)))*C194))</f>
        <v>0.0694518025368015-0.431525501139257i</v>
      </c>
      <c r="E194" s="1">
        <f t="shared" si="45"/>
        <v>-7.1888066684949141</v>
      </c>
      <c r="F194" s="1">
        <f t="shared" si="46"/>
        <v>-80.856946827190114</v>
      </c>
      <c r="G194" s="1" t="str">
        <f>IMDIV(IMSUM(COMPLEX(V48_Nom,0),IMPRODUCT(COMPLEX(np*(Calculations!$B$28*(V12_Min/V48_Nom)),0),D194)),IMSUM(IMPRODUCT(COMPLEX(((V12_Min/V48_Nom)^2),0),D194),COMPLEX(Rcs/np,(Lm*C194)/np)))</f>
        <v>1008.41444797652+2437.28223578814i</v>
      </c>
      <c r="H194" s="1">
        <f t="shared" si="50"/>
        <v>68.424372596279881</v>
      </c>
      <c r="I194" s="1">
        <f t="shared" si="51"/>
        <v>67.522896575119432</v>
      </c>
      <c r="J194" s="82" t="str">
        <f>IMPRODUCT(COMPLEX(-1,0),IMDIV(IMSUM(IMSUB(IMPRODUCT(COMPLEX((1-(V12_Min/V48_Nom))*V48_Nom,0),D194),IMPRODUCT(COMPLEX(V48_Nom,0),D194)),IMPRODUCT(COMPLEX(0,Calculations!$B$28*Lm*C194),D194)),IMSUM(IMPRODUCT(COMPLEX(((V12_Min/V48_Nom)^2),0),D194),COMPLEX(Rcs/np,(Lm*C194)/np))))</f>
        <v>276.974874137886-40.6500364759342i</v>
      </c>
      <c r="K194" s="81">
        <f t="shared" si="52"/>
        <v>48.941360278661833</v>
      </c>
      <c r="L194" s="81">
        <f t="shared" si="53"/>
        <v>-8.3493703099924534</v>
      </c>
      <c r="M194" s="1">
        <f t="shared" si="47"/>
        <v>0.66666666666666663</v>
      </c>
      <c r="N194" s="81">
        <f t="shared" si="48"/>
        <v>0.02</v>
      </c>
      <c r="O194" s="81" t="str">
        <f t="shared" si="49"/>
        <v>0.352806415206407-0.267641927424151i</v>
      </c>
      <c r="P194" s="81">
        <f t="shared" si="54"/>
        <v>-7.0751229005481537</v>
      </c>
      <c r="Q194" s="81">
        <f t="shared" si="55"/>
        <v>-37.184261298224897</v>
      </c>
      <c r="R194" s="81" t="str">
        <f t="shared" si="56"/>
        <v>1.37579486971773-4.83364877054058i</v>
      </c>
      <c r="S194" s="81">
        <f t="shared" si="57"/>
        <v>14.023812820990498</v>
      </c>
      <c r="T194" s="81">
        <f t="shared" si="58"/>
        <v>-74.112129000722703</v>
      </c>
      <c r="U194" s="81" t="str">
        <f>IMPRODUCT(COMPLEX(-1,0),IMDIV(COMPLEX(1,C194*Calculations!$B$248*Calculations!$B$250),IMPRODUCT(COMPLEX(0,C194*Calculations!$B$237),COMPLEX((Calculations!$B$250+Calculations!$B$252),C194*Calculations!$B$248*Calculations!$B$250*Calculations!$B$252))))</f>
        <v>-1.49275399704005+0.202779185499205i</v>
      </c>
      <c r="V194" s="81">
        <f t="shared" si="59"/>
        <v>3.5591753671649853</v>
      </c>
      <c r="W194" s="81">
        <f t="shared" si="60"/>
        <v>172.26415924379063</v>
      </c>
      <c r="X194" s="81">
        <f>Calculations!$B$216/(Calculations!$B$216+Calculations!$B$218)</f>
        <v>0.80079681274900394</v>
      </c>
      <c r="Y194" s="81" t="str">
        <f t="shared" si="61"/>
        <v>-0.859703370398306+6.00151652672156i</v>
      </c>
      <c r="Z194" s="81">
        <f t="shared" si="62"/>
        <v>15.653434906944497</v>
      </c>
      <c r="AA194" s="81">
        <f t="shared" si="63"/>
        <v>98.152030243067912</v>
      </c>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c r="BI194" s="44"/>
      <c r="BJ194" s="44"/>
      <c r="BK194" s="44"/>
      <c r="BL194" s="44"/>
      <c r="BM194" s="44"/>
      <c r="BN194" s="44"/>
      <c r="BO194" s="44"/>
      <c r="BP194" s="44"/>
      <c r="BQ194" s="44"/>
      <c r="BR194" s="44"/>
      <c r="BS194" s="44"/>
      <c r="BT194" s="44"/>
      <c r="BU194" s="44"/>
      <c r="BV194" s="44"/>
      <c r="BW194" s="44"/>
      <c r="BX194" s="44"/>
      <c r="BY194" s="44"/>
      <c r="BZ194" s="44"/>
      <c r="CA194" s="44"/>
      <c r="CB194" s="44"/>
      <c r="CC194" s="44"/>
      <c r="CD194" s="44"/>
      <c r="CE194" s="44"/>
      <c r="CF194" s="44"/>
      <c r="CG194" s="44"/>
      <c r="CH194" s="44"/>
      <c r="CI194" s="44"/>
      <c r="CJ194" s="44"/>
      <c r="CK194" s="44"/>
      <c r="CL194" s="44"/>
      <c r="CM194" s="44"/>
      <c r="CN194" s="44"/>
      <c r="CO194" s="44"/>
      <c r="CP194" s="44"/>
    </row>
    <row r="195" spans="2:94">
      <c r="B195" s="1">
        <v>774.26368268112776</v>
      </c>
      <c r="C195" s="1">
        <f t="shared" si="44"/>
        <v>4864.8421949048197</v>
      </c>
      <c r="D195" s="80" t="str">
        <f>IMDIV(COMPLEX((POWER(V48_Nom,2)/(V12_Min*Calculations!$B$28*np)),((Zo_Boost_Cout*Zo_Boost_Resr*POWER(V48_Nom,2))/(V12_Min*Calculations!$B$28*np))*C195),COMPLEX(1,((Zo_Boost_Cout*Zo_Boost_Resr)+((Zo_Boost_Cout*POWER(V48_Nom,2))/(V12_Min*Calculations!$B$28*np)))*C195))</f>
        <v>0.0458962560064206-0.336628540306399i</v>
      </c>
      <c r="E195" s="1">
        <f t="shared" si="45"/>
        <v>-9.3769921201462321</v>
      </c>
      <c r="F195" s="1">
        <f t="shared" si="46"/>
        <v>-82.236109918040469</v>
      </c>
      <c r="G195" s="1" t="str">
        <f>IMDIV(IMSUM(COMPLEX(V48_Nom,0),IMPRODUCT(COMPLEX(np*(Calculations!$B$28*(V12_Min/V48_Nom)),0),D195)),IMSUM(IMPRODUCT(COMPLEX(((V12_Min/V48_Nom)^2),0),D195),COMPLEX(Rcs/np,(Lm*C195)/np)))</f>
        <v>2050.54195481252+4349.07622663795i</v>
      </c>
      <c r="H195" s="1">
        <f t="shared" si="50"/>
        <v>73.639725452733188</v>
      </c>
      <c r="I195" s="1">
        <f t="shared" si="51"/>
        <v>64.756634247922676</v>
      </c>
      <c r="J195" s="82" t="str">
        <f>IMPRODUCT(COMPLEX(-1,0),IMDIV(IMSUM(IMSUB(IMPRODUCT(COMPLEX((1-(V12_Min/V48_Nom))*V48_Nom,0),D195),IMPRODUCT(COMPLEX(V48_Nom,0),D195)),IMPRODUCT(COMPLEX(0,Calculations!$B$28*Lm*C195),D195)),IMSUM(IMPRODUCT(COMPLEX(((V12_Min/V48_Nom)^2),0),D195),COMPLEX(Rcs/np,(Lm*C195)/np))))</f>
        <v>387.760938998927-102.669049156703i</v>
      </c>
      <c r="K195" s="81">
        <f t="shared" si="52"/>
        <v>52.065546390989674</v>
      </c>
      <c r="L195" s="81">
        <f t="shared" si="53"/>
        <v>-14.830131935165678</v>
      </c>
      <c r="M195" s="1">
        <f t="shared" si="47"/>
        <v>0.66666666666666663</v>
      </c>
      <c r="N195" s="81">
        <f t="shared" si="48"/>
        <v>0.02</v>
      </c>
      <c r="O195" s="81" t="str">
        <f t="shared" si="49"/>
        <v>0.352763087529746-0.209699392742355i</v>
      </c>
      <c r="P195" s="81">
        <f t="shared" si="54"/>
        <v>-7.736176025855003</v>
      </c>
      <c r="Q195" s="81">
        <f t="shared" si="55"/>
        <v>-30.729291626250827</v>
      </c>
      <c r="R195" s="81" t="str">
        <f t="shared" si="56"/>
        <v>0.812568838965622-3.96046022346844i</v>
      </c>
      <c r="S195" s="81">
        <f t="shared" si="57"/>
        <v>12.133985633221142</v>
      </c>
      <c r="T195" s="81">
        <f t="shared" si="58"/>
        <v>-78.405509765986494</v>
      </c>
      <c r="U195" s="81" t="str">
        <f>IMPRODUCT(COMPLEX(-1,0),IMDIV(COMPLEX(1,C195*Calculations!$B$248*Calculations!$B$250),IMPRODUCT(COMPLEX(0,C195*Calculations!$B$237),COMPLEX((Calculations!$B$250+Calculations!$B$252),C195*Calculations!$B$248*Calculations!$B$250*Calculations!$B$252))))</f>
        <v>-1.49196392719201+0.17872404382579i</v>
      </c>
      <c r="V195" s="81">
        <f t="shared" si="59"/>
        <v>3.5370444273066393</v>
      </c>
      <c r="W195" s="81">
        <f t="shared" si="60"/>
        <v>173.16902439965884</v>
      </c>
      <c r="X195" s="81">
        <f>Calculations!$B$216/(Calculations!$B$216+Calculations!$B$218)</f>
        <v>0.80079681274900394</v>
      </c>
      <c r="Y195" s="81" t="str">
        <f t="shared" si="61"/>
        <v>-0.403997130832883+4.84809547742381i</v>
      </c>
      <c r="Z195" s="81">
        <f t="shared" si="62"/>
        <v>13.741476779316791</v>
      </c>
      <c r="AA195" s="81">
        <f t="shared" si="63"/>
        <v>94.763514633672358</v>
      </c>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c r="BN195" s="44"/>
      <c r="BO195" s="44"/>
      <c r="BP195" s="44"/>
      <c r="BQ195" s="44"/>
      <c r="BR195" s="44"/>
      <c r="BS195" s="44"/>
      <c r="BT195" s="44"/>
      <c r="BU195" s="44"/>
      <c r="BV195" s="44"/>
      <c r="BW195" s="44"/>
      <c r="BX195" s="44"/>
      <c r="BY195" s="44"/>
      <c r="BZ195" s="44"/>
      <c r="CA195" s="44"/>
      <c r="CB195" s="44"/>
      <c r="CC195" s="44"/>
      <c r="CD195" s="44"/>
      <c r="CE195" s="44"/>
      <c r="CF195" s="44"/>
      <c r="CG195" s="44"/>
      <c r="CH195" s="44"/>
      <c r="CI195" s="44"/>
      <c r="CJ195" s="44"/>
      <c r="CK195" s="44"/>
      <c r="CL195" s="44"/>
      <c r="CM195" s="44"/>
      <c r="CN195" s="44"/>
      <c r="CO195" s="44"/>
      <c r="CP195" s="44"/>
    </row>
    <row r="196" spans="2:94">
      <c r="B196" s="1">
        <v>1000</v>
      </c>
      <c r="C196" s="1">
        <f t="shared" si="44"/>
        <v>6283.1853071795858</v>
      </c>
      <c r="D196" s="80" t="str">
        <f>IMDIV(COMPLEX((POWER(V48_Nom,2)/(V12_Min*Calculations!$B$28*np)),((Zo_Boost_Cout*Zo_Boost_Resr*POWER(V48_Nom,2))/(V12_Min*Calculations!$B$28*np))*C196),COMPLEX(1,((Zo_Boost_Cout*Zo_Boost_Resr)+((Zo_Boost_Cout*POWER(V48_Nom,2))/(V12_Min*Calculations!$B$28*np)))*C196))</f>
        <v>0.0316043557715733-0.261820263992619i</v>
      </c>
      <c r="E196" s="1">
        <f t="shared" si="45"/>
        <v>-11.577110711932423</v>
      </c>
      <c r="F196" s="1">
        <f t="shared" si="46"/>
        <v>-83.117120596235125</v>
      </c>
      <c r="G196" s="1" t="str">
        <f>IMDIV(IMSUM(COMPLEX(V48_Nom,0),IMPRODUCT(COMPLEX(np*(Calculations!$B$28*(V12_Min/V48_Nom)),0),D196)),IMSUM(IMPRODUCT(COMPLEX(((V12_Min/V48_Nom)^2),0),D196),COMPLEX(Rcs/np,(Lm*C196)/np)))</f>
        <v>14544.0083823728+7804.43800285163i</v>
      </c>
      <c r="H196" s="1">
        <f t="shared" si="50"/>
        <v>84.352667785473358</v>
      </c>
      <c r="I196" s="1">
        <f t="shared" si="51"/>
        <v>28.218383423888199</v>
      </c>
      <c r="J196" s="82" t="str">
        <f>IMPRODUCT(COMPLEX(-1,0),IMDIV(IMSUM(IMSUB(IMPRODUCT(COMPLEX((1-(V12_Min/V48_Nom))*V48_Nom,0),D196),IMPRODUCT(COMPLEX(V48_Nom,0),D196)),IMPRODUCT(COMPLEX(0,Calculations!$B$28*Lm*C196),D196)),IMSUM(IMPRODUCT(COMPLEX(((V12_Min/V48_Nom)^2),0),D196),COMPLEX(Rcs/np,(Lm*C196)/np))))</f>
        <v>625.573631918166-876.671215654597i</v>
      </c>
      <c r="K196" s="81">
        <f t="shared" si="52"/>
        <v>60.644185974209137</v>
      </c>
      <c r="L196" s="81">
        <f t="shared" si="53"/>
        <v>-54.489166548799638</v>
      </c>
      <c r="M196" s="1">
        <f t="shared" si="47"/>
        <v>0.66666666666666663</v>
      </c>
      <c r="N196" s="81">
        <f t="shared" si="48"/>
        <v>0.02</v>
      </c>
      <c r="O196" s="81" t="str">
        <f t="shared" si="49"/>
        <v>0.352690836286195-0.165556830346043i</v>
      </c>
      <c r="P196" s="81">
        <f t="shared" si="54"/>
        <v>-8.1872854293370221</v>
      </c>
      <c r="Q196" s="81">
        <f t="shared" si="55"/>
        <v>-25.145859984370347</v>
      </c>
      <c r="R196" s="81" t="str">
        <f t="shared" si="56"/>
        <v>0.411326718830093-3.19856903741079i</v>
      </c>
      <c r="S196" s="81">
        <f t="shared" si="57"/>
        <v>10.170347405938728</v>
      </c>
      <c r="T196" s="81">
        <f t="shared" si="58"/>
        <v>-82.672146108700758</v>
      </c>
      <c r="U196" s="81" t="str">
        <f>IMPRODUCT(COMPLEX(-1,0),IMDIV(COMPLEX(1,C196*Calculations!$B$248*Calculations!$B$250),IMPRODUCT(COMPLEX(0,C196*Calculations!$B$237),COMPLEX((Calculations!$B$250+Calculations!$B$252),C196*Calculations!$B$248*Calculations!$B$250*Calculations!$B$252))))</f>
        <v>-1.49064787070145+0.166391751520149i</v>
      </c>
      <c r="V196" s="81">
        <f t="shared" si="59"/>
        <v>3.5212794594804109</v>
      </c>
      <c r="W196" s="81">
        <f t="shared" si="60"/>
        <v>173.63079428355192</v>
      </c>
      <c r="X196" s="81">
        <f>Calculations!$B$216/(Calculations!$B$216+Calculations!$B$218)</f>
        <v>0.80079681274900394</v>
      </c>
      <c r="Y196" s="81" t="str">
        <f t="shared" si="61"/>
        <v>-0.0648067187723209+3.87295888891766i</v>
      </c>
      <c r="Z196" s="81">
        <f t="shared" si="62"/>
        <v>11.762073584208155</v>
      </c>
      <c r="AA196" s="81">
        <f t="shared" si="63"/>
        <v>90.958648174851163</v>
      </c>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44"/>
      <c r="BK196" s="44"/>
      <c r="BL196" s="44"/>
      <c r="BM196" s="44"/>
      <c r="BN196" s="44"/>
      <c r="BO196" s="44"/>
      <c r="BP196" s="44"/>
      <c r="BQ196" s="44"/>
      <c r="BR196" s="44"/>
      <c r="BS196" s="44"/>
      <c r="BT196" s="44"/>
      <c r="BU196" s="44"/>
      <c r="BV196" s="44"/>
      <c r="BW196" s="44"/>
      <c r="BX196" s="44"/>
      <c r="BY196" s="44"/>
      <c r="BZ196" s="44"/>
      <c r="CA196" s="44"/>
      <c r="CB196" s="44"/>
      <c r="CC196" s="44"/>
      <c r="CD196" s="44"/>
      <c r="CE196" s="44"/>
      <c r="CF196" s="44"/>
      <c r="CG196" s="44"/>
      <c r="CH196" s="44"/>
      <c r="CI196" s="44"/>
      <c r="CJ196" s="44"/>
      <c r="CK196" s="44"/>
      <c r="CL196" s="44"/>
      <c r="CM196" s="44"/>
      <c r="CN196" s="44"/>
      <c r="CO196" s="44"/>
      <c r="CP196" s="44"/>
    </row>
    <row r="197" spans="2:94">
      <c r="B197" s="1">
        <v>1291.5496650148843</v>
      </c>
      <c r="C197" s="1">
        <f t="shared" si="44"/>
        <v>8115.0458787142379</v>
      </c>
      <c r="D197" s="80" t="str">
        <f>IMDIV(COMPLEX((POWER(V48_Nom,2)/(V12_Min*Calculations!$B$28*np)),((Zo_Boost_Cout*Zo_Boost_Resr*POWER(V48_Nom,2))/(V12_Min*Calculations!$B$28*np))*C197),COMPLEX(1,((Zo_Boost_Cout*Zo_Boost_Resr)+((Zo_Boost_Cout*POWER(V48_Nom,2))/(V12_Min*Calculations!$B$28*np)))*C197))</f>
        <v>0.0229743218100299-0.203270082181628i</v>
      </c>
      <c r="E197" s="1">
        <f t="shared" si="45"/>
        <v>-13.783403850720218</v>
      </c>
      <c r="F197" s="1">
        <f t="shared" si="46"/>
        <v>-83.551588379556861</v>
      </c>
      <c r="G197" s="1" t="str">
        <f>IMDIV(IMSUM(COMPLEX(V48_Nom,0),IMPRODUCT(COMPLEX(np*(Calculations!$B$28*(V12_Min/V48_Nom)),0),D197)),IMSUM(IMPRODUCT(COMPLEX(((V12_Min/V48_Nom)^2),0),D197),COMPLEX(Rcs/np,(Lm*C197)/np)))</f>
        <v>1675.49760540893-7084.69766587573i</v>
      </c>
      <c r="H197" s="1">
        <f t="shared" si="50"/>
        <v>77.242777808413464</v>
      </c>
      <c r="I197" s="1">
        <f t="shared" si="51"/>
        <v>-76.694285986941068</v>
      </c>
      <c r="J197" s="82" t="str">
        <f>IMPRODUCT(COMPLEX(-1,0),IMDIV(IMSUM(IMSUB(IMPRODUCT(COMPLEX((1-(V12_Min/V48_Nom))*V48_Nom,0),D197),IMPRODUCT(COMPLEX(V48_Nom,0),D197)),IMPRODUCT(COMPLEX(0,Calculations!$B$28*Lm*C197),D197)),IMSUM(IMPRODUCT(COMPLEX(((V12_Min/V48_Nom)^2),0),D197),COMPLEX(Rcs/np,(Lm*C197)/np))))</f>
        <v>-352.628569876268-114.005708394549i</v>
      </c>
      <c r="K197" s="81">
        <f t="shared" si="52"/>
        <v>51.378103551453762</v>
      </c>
      <c r="L197" s="81">
        <f t="shared" si="53"/>
        <v>-162.08384871239926</v>
      </c>
      <c r="M197" s="1">
        <f t="shared" si="47"/>
        <v>0.66666666666666663</v>
      </c>
      <c r="N197" s="81">
        <f t="shared" si="48"/>
        <v>0.02</v>
      </c>
      <c r="O197" s="81" t="str">
        <f t="shared" si="49"/>
        <v>0.352570379787073-0.132307863519917i</v>
      </c>
      <c r="P197" s="81">
        <f t="shared" si="54"/>
        <v>-8.4828933490922793</v>
      </c>
      <c r="Q197" s="81">
        <f t="shared" si="55"/>
        <v>-20.569432432487968</v>
      </c>
      <c r="R197" s="81" t="str">
        <f t="shared" si="56"/>
        <v>0.135873017580566-2.54955427863748i</v>
      </c>
      <c r="S197" s="81">
        <f t="shared" si="57"/>
        <v>8.1416022825155228</v>
      </c>
      <c r="T197" s="81">
        <f t="shared" si="58"/>
        <v>-86.949430349180361</v>
      </c>
      <c r="U197" s="81" t="str">
        <f>IMPRODUCT(COMPLEX(-1,0),IMDIV(COMPLEX(1,C197*Calculations!$B$248*Calculations!$B$250),IMPRODUCT(COMPLEX(0,C197*Calculations!$B$237),COMPLEX((Calculations!$B$250+Calculations!$B$252),C197*Calculations!$B$248*Calculations!$B$250*Calculations!$B$252))))</f>
        <v>-1.48845771529394+0.164925234024171i</v>
      </c>
      <c r="V197" s="81">
        <f t="shared" si="59"/>
        <v>3.5077248108107435</v>
      </c>
      <c r="W197" s="81">
        <f t="shared" si="60"/>
        <v>173.67726018831101</v>
      </c>
      <c r="X197" s="81">
        <f>Calculations!$B$216/(Calculations!$B$216+Calculations!$B$218)</f>
        <v>0.80079681274900394</v>
      </c>
      <c r="Y197" s="81" t="str">
        <f t="shared" si="61"/>
        <v>0.174769575870333+3.05689178402373i</v>
      </c>
      <c r="Z197" s="81">
        <f t="shared" si="62"/>
        <v>9.7197738121152817</v>
      </c>
      <c r="AA197" s="81">
        <f t="shared" si="63"/>
        <v>86.727829839130663</v>
      </c>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c r="BL197" s="44"/>
      <c r="BM197" s="44"/>
      <c r="BN197" s="44"/>
      <c r="BO197" s="44"/>
      <c r="BP197" s="44"/>
      <c r="BQ197" s="44"/>
      <c r="BR197" s="44"/>
      <c r="BS197" s="44"/>
      <c r="BT197" s="44"/>
      <c r="BU197" s="44"/>
      <c r="BV197" s="44"/>
      <c r="BW197" s="44"/>
      <c r="BX197" s="44"/>
      <c r="BY197" s="44"/>
      <c r="BZ197" s="44"/>
      <c r="CA197" s="44"/>
      <c r="CB197" s="44"/>
      <c r="CC197" s="44"/>
      <c r="CD197" s="44"/>
      <c r="CE197" s="44"/>
      <c r="CF197" s="44"/>
      <c r="CG197" s="44"/>
      <c r="CH197" s="44"/>
      <c r="CI197" s="44"/>
      <c r="CJ197" s="44"/>
      <c r="CK197" s="44"/>
      <c r="CL197" s="44"/>
      <c r="CM197" s="44"/>
      <c r="CN197" s="44"/>
      <c r="CO197" s="44"/>
      <c r="CP197" s="44"/>
    </row>
    <row r="198" spans="2:94">
      <c r="B198" s="1">
        <v>1668.1005372000604</v>
      </c>
      <c r="C198" s="1">
        <f t="shared" si="44"/>
        <v>10480.984786233794</v>
      </c>
      <c r="D198" s="80" t="str">
        <f>IMDIV(COMPLEX((POWER(V48_Nom,2)/(V12_Min*Calculations!$B$28*np)),((Zo_Boost_Cout*Zo_Boost_Resr*POWER(V48_Nom,2))/(V12_Min*Calculations!$B$28*np))*C198),COMPLEX(1,((Zo_Boost_Cout*Zo_Boost_Resr)+((Zo_Boost_Cout*POWER(V48_Nom,2))/(V12_Min*Calculations!$B$28*np)))*C198))</f>
        <v>0.0177781760545013-0.157642050948928i</v>
      </c>
      <c r="E198" s="1">
        <f t="shared" si="45"/>
        <v>-15.991671743136198</v>
      </c>
      <c r="F198" s="1">
        <f t="shared" si="46"/>
        <v>-83.565620680853158</v>
      </c>
      <c r="G198" s="1" t="str">
        <f>IMDIV(IMSUM(COMPLEX(V48_Nom,0),IMPRODUCT(COMPLEX(np*(Calculations!$B$28*(V12_Min/V48_Nom)),0),D198)),IMSUM(IMPRODUCT(COMPLEX(((V12_Min/V48_Nom)^2),0),D198),COMPLEX(Rcs/np,(Lm*C198)/np)))</f>
        <v>193.778729729087-3245.05937851907i</v>
      </c>
      <c r="H198" s="1">
        <f t="shared" si="50"/>
        <v>70.239911840624359</v>
      </c>
      <c r="I198" s="1">
        <f t="shared" si="51"/>
        <v>-86.582640479607136</v>
      </c>
      <c r="J198" s="82" t="str">
        <f>IMPRODUCT(COMPLEX(-1,0),IMDIV(IMSUM(IMSUB(IMPRODUCT(COMPLEX((1-(V12_Min/V48_Nom))*V48_Nom,0),D198),IMPRODUCT(COMPLEX(V48_Nom,0),D198)),IMPRODUCT(COMPLEX(0,Calculations!$B$28*Lm*C198),D198)),IMSUM(IMPRODUCT(COMPLEX(((V12_Min/V48_Nom)^2),0),D198),COMPLEX(Rcs/np,(Lm*C198)/np))))</f>
        <v>-128.407265720954-12.6713536572927i</v>
      </c>
      <c r="K198" s="81">
        <f t="shared" si="52"/>
        <v>42.21387868805148</v>
      </c>
      <c r="L198" s="81">
        <f t="shared" si="53"/>
        <v>-174.36424312611257</v>
      </c>
      <c r="M198" s="1">
        <f t="shared" si="47"/>
        <v>0.66666666666666663</v>
      </c>
      <c r="N198" s="81">
        <f t="shared" si="48"/>
        <v>0.02</v>
      </c>
      <c r="O198" s="81" t="str">
        <f t="shared" si="49"/>
        <v>0.352369629232918-0.10776167015175i</v>
      </c>
      <c r="P198" s="81">
        <f t="shared" si="54"/>
        <v>-8.6717400510991087</v>
      </c>
      <c r="Q198" s="81">
        <f t="shared" si="55"/>
        <v>-17.004678535838124</v>
      </c>
      <c r="R198" s="81" t="str">
        <f t="shared" si="56"/>
        <v>-0.0461759006441199-2.00984417548207i</v>
      </c>
      <c r="S198" s="81">
        <f t="shared" si="57"/>
        <v>6.0655395464734694</v>
      </c>
      <c r="T198" s="81">
        <f t="shared" si="58"/>
        <v>-91.31613131928539</v>
      </c>
      <c r="U198" s="81" t="str">
        <f>IMPRODUCT(COMPLEX(-1,0),IMDIV(COMPLEX(1,C198*Calculations!$B$248*Calculations!$B$250),IMPRODUCT(COMPLEX(0,C198*Calculations!$B$237),COMPLEX((Calculations!$B$250+Calculations!$B$252),C198*Calculations!$B$248*Calculations!$B$250*Calculations!$B$252))))</f>
        <v>-1.48481860271983+0.17413069823894i</v>
      </c>
      <c r="V198" s="81">
        <f t="shared" si="59"/>
        <v>3.4927903983067199</v>
      </c>
      <c r="W198" s="81">
        <f t="shared" si="60"/>
        <v>173.31124389605961</v>
      </c>
      <c r="X198" s="81">
        <f>Calculations!$B$216/(Calculations!$B$216+Calculations!$B$218)</f>
        <v>0.80079681274900394</v>
      </c>
      <c r="Y198" s="81" t="str">
        <f t="shared" si="61"/>
        <v>0.335164221459283+2.38334218756607i</v>
      </c>
      <c r="Z198" s="81">
        <f t="shared" si="62"/>
        <v>7.6287766635692043</v>
      </c>
      <c r="AA198" s="81">
        <f t="shared" si="63"/>
        <v>81.995112576774233</v>
      </c>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c r="BI198" s="44"/>
      <c r="BJ198" s="44"/>
      <c r="BK198" s="44"/>
      <c r="BL198" s="44"/>
      <c r="BM198" s="44"/>
      <c r="BN198" s="44"/>
      <c r="BO198" s="44"/>
      <c r="BP198" s="44"/>
      <c r="BQ198" s="44"/>
      <c r="BR198" s="44"/>
      <c r="BS198" s="44"/>
      <c r="BT198" s="44"/>
      <c r="BU198" s="44"/>
      <c r="BV198" s="44"/>
      <c r="BW198" s="44"/>
      <c r="BX198" s="44"/>
      <c r="BY198" s="44"/>
      <c r="BZ198" s="44"/>
      <c r="CA198" s="44"/>
      <c r="CB198" s="44"/>
      <c r="CC198" s="44"/>
      <c r="CD198" s="44"/>
      <c r="CE198" s="44"/>
      <c r="CF198" s="44"/>
      <c r="CG198" s="44"/>
      <c r="CH198" s="44"/>
      <c r="CI198" s="44"/>
      <c r="CJ198" s="44"/>
      <c r="CK198" s="44"/>
      <c r="CL198" s="44"/>
      <c r="CM198" s="44"/>
      <c r="CN198" s="44"/>
      <c r="CO198" s="44"/>
      <c r="CP198" s="44"/>
    </row>
    <row r="199" spans="2:94">
      <c r="B199" s="1">
        <v>2154.4346900318833</v>
      </c>
      <c r="C199" s="1">
        <f t="shared" si="44"/>
        <v>13536.712389686336</v>
      </c>
      <c r="D199" s="80" t="str">
        <f>IMDIV(COMPLEX((POWER(V48_Nom,2)/(V12_Min*Calculations!$B$28*np)),((Zo_Boost_Cout*Zo_Boost_Resr*POWER(V48_Nom,2))/(V12_Min*Calculations!$B$28*np))*C199),COMPLEX(1,((Zo_Boost_Cout*Zo_Boost_Resr)+((Zo_Boost_Cout*POWER(V48_Nom,2))/(V12_Min*Calculations!$B$28*np)))*C199))</f>
        <v>0.0146550116012198-0.122176306238102i</v>
      </c>
      <c r="E199" s="1">
        <f t="shared" si="45"/>
        <v>-18.19821944619731</v>
      </c>
      <c r="F199" s="1">
        <f t="shared" si="46"/>
        <v>-83.160067522293886</v>
      </c>
      <c r="G199" s="1" t="str">
        <f>IMDIV(IMSUM(COMPLEX(V48_Nom,0),IMPRODUCT(COMPLEX(np*(Calculations!$B$28*(V12_Min/V48_Nom)),0),D199)),IMSUM(IMPRODUCT(COMPLEX(((V12_Min/V48_Nom)^2),0),D199),COMPLEX(Rcs/np,(Lm*C199)/np)))</f>
        <v>40.8760028469956-1992.20017853577i</v>
      </c>
      <c r="H199" s="1">
        <f t="shared" si="50"/>
        <v>65.988487441512746</v>
      </c>
      <c r="I199" s="1">
        <f t="shared" si="51"/>
        <v>-88.824568986901767</v>
      </c>
      <c r="J199" s="82" t="str">
        <f>IMPRODUCT(COMPLEX(-1,0),IMDIV(IMSUM(IMSUB(IMPRODUCT(COMPLEX((1-(V12_Min/V48_Nom))*V48_Nom,0),D199),IMPRODUCT(COMPLEX(V48_Nom,0),D199)),IMPRODUCT(COMPLEX(0,Calculations!$B$28*Lm*C199),D199)),IMSUM(IMPRODUCT(COMPLEX(((V12_Min/V48_Nom)^2),0),D199),COMPLEX(Rcs/np,(Lm*C199)/np))))</f>
        <v>-61.7294893320367-1.24384395171031i</v>
      </c>
      <c r="K199" s="81">
        <f t="shared" si="52"/>
        <v>35.811616644633325</v>
      </c>
      <c r="L199" s="81">
        <f t="shared" si="53"/>
        <v>-178.84565113576767</v>
      </c>
      <c r="M199" s="1">
        <f t="shared" si="47"/>
        <v>0.66666666666666663</v>
      </c>
      <c r="N199" s="81">
        <f t="shared" si="48"/>
        <v>0.02</v>
      </c>
      <c r="O199" s="81" t="str">
        <f t="shared" si="49"/>
        <v>0.352035265378509-0.0902972035350369i</v>
      </c>
      <c r="P199" s="81">
        <f t="shared" si="54"/>
        <v>-8.7915500547205578</v>
      </c>
      <c r="Q199" s="81">
        <f t="shared" si="55"/>
        <v>-14.386243331327755</v>
      </c>
      <c r="R199" s="81" t="str">
        <f t="shared" si="56"/>
        <v>-0.162718008943564-1.57002128938387i</v>
      </c>
      <c r="S199" s="81">
        <f t="shared" si="57"/>
        <v>3.9645112993437683</v>
      </c>
      <c r="T199" s="81">
        <f t="shared" si="58"/>
        <v>-95.917045769201849</v>
      </c>
      <c r="U199" s="81" t="str">
        <f>IMPRODUCT(COMPLEX(-1,0),IMDIV(COMPLEX(1,C199*Calculations!$B$248*Calculations!$B$250),IMPRODUCT(COMPLEX(0,C199*Calculations!$B$237),COMPLEX((Calculations!$B$250+Calculations!$B$252),C199*Calculations!$B$248*Calculations!$B$250*Calculations!$B$252))))</f>
        <v>-1.47878763475493+0.194406657984789i</v>
      </c>
      <c r="V199" s="81">
        <f t="shared" si="59"/>
        <v>3.4725326379584525</v>
      </c>
      <c r="W199" s="81">
        <f t="shared" si="60"/>
        <v>172.51064225753188</v>
      </c>
      <c r="X199" s="81">
        <f>Calculations!$B$216/(Calculations!$B$216+Calculations!$B$218)</f>
        <v>0.80079681274900394</v>
      </c>
      <c r="Y199" s="81" t="str">
        <f t="shared" si="61"/>
        <v>0.437113315752056+1.83390046036163i</v>
      </c>
      <c r="Z199" s="81">
        <f t="shared" si="62"/>
        <v>5.5074906560912131</v>
      </c>
      <c r="AA199" s="81">
        <f t="shared" si="63"/>
        <v>76.593596488330007</v>
      </c>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44"/>
      <c r="BJ199" s="44"/>
      <c r="BK199" s="44"/>
      <c r="BL199" s="44"/>
      <c r="BM199" s="44"/>
      <c r="BN199" s="44"/>
      <c r="BO199" s="44"/>
      <c r="BP199" s="44"/>
      <c r="BQ199" s="44"/>
      <c r="BR199" s="44"/>
      <c r="BS199" s="44"/>
      <c r="BT199" s="44"/>
      <c r="BU199" s="44"/>
      <c r="BV199" s="44"/>
      <c r="BW199" s="44"/>
      <c r="BX199" s="44"/>
      <c r="BY199" s="44"/>
      <c r="BZ199" s="44"/>
      <c r="CA199" s="44"/>
      <c r="CB199" s="44"/>
      <c r="CC199" s="44"/>
      <c r="CD199" s="44"/>
      <c r="CE199" s="44"/>
      <c r="CF199" s="44"/>
      <c r="CG199" s="44"/>
      <c r="CH199" s="44"/>
      <c r="CI199" s="44"/>
      <c r="CJ199" s="44"/>
      <c r="CK199" s="44"/>
      <c r="CL199" s="44"/>
      <c r="CM199" s="44"/>
      <c r="CN199" s="44"/>
      <c r="CO199" s="44"/>
      <c r="CP199" s="44"/>
    </row>
    <row r="200" spans="2:94">
      <c r="B200" s="1">
        <v>2782.5594022071282</v>
      </c>
      <c r="C200" s="1">
        <f t="shared" si="44"/>
        <v>17483.336352302242</v>
      </c>
      <c r="D200" s="80" t="str">
        <f>IMDIV(COMPLEX((POWER(V48_Nom,2)/(V12_Min*Calculations!$B$28*np)),((Zo_Boost_Cout*Zo_Boost_Resr*POWER(V48_Nom,2))/(V12_Min*Calculations!$B$28*np))*C200),COMPLEX(1,((Zo_Boost_Cout*Zo_Boost_Resr)+((Zo_Boost_Cout*POWER(V48_Nom,2))/(V12_Min*Calculations!$B$28*np)))*C200))</f>
        <v>0.0127797828521864-0.0946523663476684i</v>
      </c>
      <c r="E200" s="1">
        <f t="shared" si="45"/>
        <v>-20.398912074192872</v>
      </c>
      <c r="F200" s="1">
        <f t="shared" si="46"/>
        <v>-82.310533629521913</v>
      </c>
      <c r="G200" s="1" t="str">
        <f>IMDIV(IMSUM(COMPLEX(V48_Nom,0),IMPRODUCT(COMPLEX(np*(Calculations!$B$28*(V12_Min/V48_Nom)),0),D200)),IMSUM(IMPRODUCT(COMPLEX(((V12_Min/V48_Nom)^2),0),D200),COMPLEX(Rcs/np,(Lm*C200)/np)))</f>
        <v>10.2164962693727-1369.87022172177i</v>
      </c>
      <c r="H200" s="1">
        <f t="shared" si="50"/>
        <v>62.733830057109387</v>
      </c>
      <c r="I200" s="1">
        <f t="shared" si="51"/>
        <v>-89.572695824932978</v>
      </c>
      <c r="J200" s="82" t="str">
        <f>IMPRODUCT(COMPLEX(-1,0),IMDIV(IMSUM(IMSUB(IMPRODUCT(COMPLEX((1-(V12_Min/V48_Nom))*V48_Nom,0),D200),IMPRODUCT(COMPLEX(V48_Nom,0),D200)),IMPRODUCT(COMPLEX(0,Calculations!$B$28*Lm*C200),D200)),IMSUM(IMPRODUCT(COMPLEX(((V12_Min/V48_Nom)^2),0),D200),COMPLEX(Rcs/np,(Lm*C200)/np))))</f>
        <v>-33.2297366771545+1.04686342754454i</v>
      </c>
      <c r="K200" s="81">
        <f t="shared" si="52"/>
        <v>30.434846189029109</v>
      </c>
      <c r="L200" s="81">
        <f t="shared" si="53"/>
        <v>178.19556125154395</v>
      </c>
      <c r="M200" s="1">
        <f t="shared" si="47"/>
        <v>0.66666666666666663</v>
      </c>
      <c r="N200" s="81">
        <f t="shared" si="48"/>
        <v>0.02</v>
      </c>
      <c r="O200" s="81" t="str">
        <f t="shared" si="49"/>
        <v>0.351478922718916-0.0787530980224079i</v>
      </c>
      <c r="P200" s="81">
        <f t="shared" si="54"/>
        <v>-8.8692783513901556</v>
      </c>
      <c r="Q200" s="81">
        <f t="shared" si="55"/>
        <v>-12.629223736868788</v>
      </c>
      <c r="R200" s="81" t="str">
        <f t="shared" si="56"/>
        <v>-0.235564663982068-1.21661495874368i</v>
      </c>
      <c r="S200" s="81">
        <f t="shared" si="57"/>
        <v>1.8629017074660275</v>
      </c>
      <c r="T200" s="81">
        <f t="shared" si="58"/>
        <v>-100.95818439951204</v>
      </c>
      <c r="U200" s="81" t="str">
        <f>IMPRODUCT(COMPLEX(-1,0),IMDIV(COMPLEX(1,C200*Calculations!$B$248*Calculations!$B$250),IMPRODUCT(COMPLEX(0,C200*Calculations!$B$237),COMPLEX((Calculations!$B$250+Calculations!$B$252),C200*Calculations!$B$248*Calculations!$B$250*Calculations!$B$252))))</f>
        <v>-1.46883566487531+0.226648807249653i</v>
      </c>
      <c r="V200" s="81">
        <f t="shared" si="59"/>
        <v>3.4416581010573348</v>
      </c>
      <c r="W200" s="81">
        <f t="shared" si="60"/>
        <v>171.22815285074483</v>
      </c>
      <c r="X200" s="81">
        <f>Calculations!$B$216/(Calculations!$B$216+Calculations!$B$218)</f>
        <v>0.80079681274900394</v>
      </c>
      <c r="Y200" s="81" t="str">
        <f t="shared" si="61"/>
        <v>0.4978955057117+1.38827496148233i</v>
      </c>
      <c r="Z200" s="81">
        <f t="shared" si="62"/>
        <v>3.3750065273123568</v>
      </c>
      <c r="AA200" s="81">
        <f t="shared" si="63"/>
        <v>70.269968451232728</v>
      </c>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44"/>
      <c r="BJ200" s="44"/>
      <c r="BK200" s="44"/>
      <c r="BL200" s="44"/>
      <c r="BM200" s="44"/>
      <c r="BN200" s="44"/>
      <c r="BO200" s="44"/>
      <c r="BP200" s="44"/>
      <c r="BQ200" s="44"/>
      <c r="BR200" s="44"/>
      <c r="BS200" s="44"/>
      <c r="BT200" s="44"/>
      <c r="BU200" s="44"/>
      <c r="BV200" s="44"/>
      <c r="BW200" s="44"/>
      <c r="BX200" s="44"/>
      <c r="BY200" s="44"/>
      <c r="BZ200" s="44"/>
      <c r="CA200" s="44"/>
      <c r="CB200" s="44"/>
      <c r="CC200" s="44"/>
      <c r="CD200" s="44"/>
      <c r="CE200" s="44"/>
      <c r="CF200" s="44"/>
      <c r="CG200" s="44"/>
      <c r="CH200" s="44"/>
      <c r="CI200" s="44"/>
      <c r="CJ200" s="44"/>
      <c r="CK200" s="44"/>
      <c r="CL200" s="44"/>
      <c r="CM200" s="44"/>
      <c r="CN200" s="44"/>
      <c r="CO200" s="44"/>
      <c r="CP200" s="44"/>
    </row>
    <row r="201" spans="2:94">
      <c r="B201" s="1">
        <v>3593.813663804628</v>
      </c>
      <c r="C201" s="1">
        <f t="shared" ref="C201:C228" si="64">2*PI()*B201</f>
        <v>22580.597209158477</v>
      </c>
      <c r="D201" s="80" t="str">
        <f>IMDIV(COMPLEX((POWER(V48_Nom,2)/(V12_Min*Calculations!$B$28*np)),((Zo_Boost_Cout*Zo_Boost_Resr*POWER(V48_Nom,2))/(V12_Min*Calculations!$B$28*np))*C201),COMPLEX(1,((Zo_Boost_Cout*Zo_Boost_Resr)+((Zo_Boost_Cout*POWER(V48_Nom,2))/(V12_Min*Calculations!$B$28*np)))*C201))</f>
        <v>0.0116545538315846-0.073311762887551i</v>
      </c>
      <c r="E201" s="1">
        <f t="shared" ref="E201:E228" si="65">20*LOG(IMABS(D201))</f>
        <v>-22.588134696158171</v>
      </c>
      <c r="F201" s="1">
        <f t="shared" ref="F201:F223" si="66">IMARGUMENT(D201)*(180/PI())</f>
        <v>-80.967134487329773</v>
      </c>
      <c r="G201" s="1" t="str">
        <f>IMDIV(IMSUM(COMPLEX(V48_Nom,0),IMPRODUCT(COMPLEX(np*(Calculations!$B$28*(V12_Min/V48_Nom)),0),D201)),IMSUM(IMPRODUCT(COMPLEX(((V12_Min/V48_Nom)^2),0),D201),COMPLEX(Rcs/np,(Lm*C201)/np)))</f>
        <v>2.49290068613795-993.592269777577i</v>
      </c>
      <c r="H201" s="1">
        <f t="shared" si="50"/>
        <v>59.944191418653602</v>
      </c>
      <c r="I201" s="1">
        <f t="shared" si="51"/>
        <v>-89.856246477858576</v>
      </c>
      <c r="J201" s="82" t="str">
        <f>IMPRODUCT(COMPLEX(-1,0),IMDIV(IMSUM(IMSUB(IMPRODUCT(COMPLEX((1-(V12_Min/V48_Nom))*V48_Nom,0),D201),IMPRODUCT(COMPLEX(V48_Nom,0),D201)),IMPRODUCT(COMPLEX(0,Calculations!$B$28*Lm*C201),D201)),IMSUM(IMPRODUCT(COMPLEX(((V12_Min/V48_Nom)^2),0),D201),COMPLEX(Rcs/np,(Lm*C201)/np))))</f>
        <v>-18.947662258989+1.44969174029745i</v>
      </c>
      <c r="K201" s="81">
        <f t="shared" si="52"/>
        <v>25.576461433526219</v>
      </c>
      <c r="L201" s="81">
        <f t="shared" si="53"/>
        <v>175.62480538924981</v>
      </c>
      <c r="M201" s="1">
        <f t="shared" ref="M201:M228" si="67">1/(Kff*V48_Nom)</f>
        <v>0.66666666666666663</v>
      </c>
      <c r="N201" s="81">
        <f t="shared" ref="N201:N228" si="68">Rcs*Acs/np</f>
        <v>0.02</v>
      </c>
      <c r="O201" s="81" t="str">
        <f t="shared" ref="O201:O228" si="69">IMPRODUCT(COMPLEX(gm/(IL_Comp_Ccomp+IL_Comp_Chf),0),IMDIV(COMPLEX(1,C201*IL_Comp_Rcomp*IL_Comp_Ccomp),IMPRODUCT(COMPLEX(0,C201),COMPLEX(1,C201*IL_Comp_Rcomp*IL_Comp_Chf))))</f>
        <v>0.350554790059133-0.0723439864316382i</v>
      </c>
      <c r="P201" s="81">
        <f t="shared" si="54"/>
        <v>-8.9237522889340557</v>
      </c>
      <c r="Q201" s="81">
        <f t="shared" si="55"/>
        <v>-11.660434502997969</v>
      </c>
      <c r="R201" s="81" t="str">
        <f t="shared" si="56"/>
        <v>-0.280296318673431-0.93474004806933i</v>
      </c>
      <c r="S201" s="81">
        <f t="shared" si="57"/>
        <v>-0.21223942857456862</v>
      </c>
      <c r="T201" s="81">
        <f t="shared" si="58"/>
        <v>-106.69217549508988</v>
      </c>
      <c r="U201" s="81" t="str">
        <f>IMPRODUCT(COMPLEX(-1,0),IMDIV(COMPLEX(1,C201*Calculations!$B$248*Calculations!$B$250),IMPRODUCT(COMPLEX(0,C201*Calculations!$B$237),COMPLEX((Calculations!$B$250+Calculations!$B$252),C201*Calculations!$B$248*Calculations!$B$250*Calculations!$B$252))))</f>
        <v>-1.45252955209851+0.272061627632088i</v>
      </c>
      <c r="V201" s="81">
        <f t="shared" si="59"/>
        <v>3.3922471996131009</v>
      </c>
      <c r="W201" s="81">
        <f t="shared" si="60"/>
        <v>169.39130677714638</v>
      </c>
      <c r="X201" s="81">
        <f>Calculations!$B$216/(Calculations!$B$216+Calculations!$B$218)</f>
        <v>0.80079681274900394</v>
      </c>
      <c r="Y201" s="81" t="str">
        <f t="shared" si="61"/>
        <v>0.529683516361561+1.02620483587767i</v>
      </c>
      <c r="Z201" s="81">
        <f t="shared" si="62"/>
        <v>1.2504544898275614</v>
      </c>
      <c r="AA201" s="81">
        <f t="shared" si="63"/>
        <v>62.699131282056591</v>
      </c>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c r="BH201" s="44"/>
      <c r="BI201" s="44"/>
      <c r="BJ201" s="44"/>
      <c r="BK201" s="44"/>
      <c r="BL201" s="44"/>
      <c r="BM201" s="44"/>
      <c r="BN201" s="44"/>
      <c r="BO201" s="44"/>
      <c r="BP201" s="44"/>
      <c r="BQ201" s="44"/>
      <c r="BR201" s="44"/>
      <c r="BS201" s="44"/>
      <c r="BT201" s="44"/>
      <c r="BU201" s="44"/>
      <c r="BV201" s="44"/>
      <c r="BW201" s="44"/>
      <c r="BX201" s="44"/>
      <c r="BY201" s="44"/>
      <c r="BZ201" s="44"/>
      <c r="CA201" s="44"/>
      <c r="CB201" s="44"/>
      <c r="CC201" s="44"/>
      <c r="CD201" s="44"/>
      <c r="CE201" s="44"/>
      <c r="CF201" s="44"/>
      <c r="CG201" s="44"/>
      <c r="CH201" s="44"/>
      <c r="CI201" s="44"/>
      <c r="CJ201" s="44"/>
      <c r="CK201" s="44"/>
      <c r="CL201" s="44"/>
      <c r="CM201" s="44"/>
      <c r="CN201" s="44"/>
      <c r="CO201" s="44"/>
      <c r="CP201" s="44"/>
    </row>
    <row r="202" spans="2:94">
      <c r="B202" s="1">
        <v>4641.5888336127782</v>
      </c>
      <c r="C202" s="1">
        <f t="shared" si="64"/>
        <v>29163.962761324641</v>
      </c>
      <c r="D202" s="80" t="str">
        <f>IMDIV(COMPLEX((POWER(V48_Nom,2)/(V12_Min*Calculations!$B$28*np)),((Zo_Boost_Cout*Zo_Boost_Resr*POWER(V48_Nom,2))/(V12_Min*Calculations!$B$28*np))*C202),COMPLEX(1,((Zo_Boost_Cout*Zo_Boost_Resr)+((Zo_Boost_Cout*POWER(V48_Nom,2))/(V12_Min*Calculations!$B$28*np)))*C202))</f>
        <v>0.0109796157605805-0.0567746515500431i</v>
      </c>
      <c r="E202" s="1">
        <f t="shared" si="65"/>
        <v>-24.757450275977504</v>
      </c>
      <c r="F202" s="1">
        <f t="shared" si="66"/>
        <v>-79.054718022283637</v>
      </c>
      <c r="G202" s="1" t="str">
        <f>IMDIV(IMSUM(COMPLEX(V48_Nom,0),IMPRODUCT(COMPLEX(np*(Calculations!$B$28*(V12_Min/V48_Nom)),0),D202)),IMSUM(IMPRODUCT(COMPLEX(((V12_Min/V48_Nom)^2),0),D202),COMPLEX(Rcs/np,(Lm*C202)/np)))</f>
        <v>0.423718590635628-741.136967701608i</v>
      </c>
      <c r="H202" s="1">
        <f t="shared" si="50"/>
        <v>57.397970945373544</v>
      </c>
      <c r="I202" s="1">
        <f t="shared" si="51"/>
        <v>-89.967243188023843</v>
      </c>
      <c r="J202" s="82" t="str">
        <f>IMPRODUCT(COMPLEX(-1,0),IMDIV(IMSUM(IMSUB(IMPRODUCT(COMPLEX((1-(V12_Min/V48_Nom))*V48_Nom,0),D202),IMPRODUCT(COMPLEX(V48_Nom,0),D202)),IMPRODUCT(COMPLEX(0,Calculations!$B$28*Lm*C202),D202)),IMSUM(IMPRODUCT(COMPLEX(((V12_Min/V48_Nom)^2),0),D202),COMPLEX(Rcs/np,(Lm*C202)/np))))</f>
        <v>-11.203169904343+1.36057010170805i</v>
      </c>
      <c r="K202" s="81">
        <f t="shared" si="52"/>
        <v>21.050404394313674</v>
      </c>
      <c r="L202" s="81">
        <f t="shared" si="53"/>
        <v>173.0756177681408</v>
      </c>
      <c r="M202" s="1">
        <f t="shared" si="67"/>
        <v>0.66666666666666663</v>
      </c>
      <c r="N202" s="81">
        <f t="shared" si="68"/>
        <v>0.02</v>
      </c>
      <c r="O202" s="81" t="str">
        <f t="shared" si="69"/>
        <v>0.349024010834476-0.070593522775367i</v>
      </c>
      <c r="P202" s="81">
        <f t="shared" si="54"/>
        <v>-8.968766172621919</v>
      </c>
      <c r="Q202" s="81">
        <f t="shared" si="55"/>
        <v>-11.434374708731188</v>
      </c>
      <c r="R202" s="81" t="str">
        <f t="shared" si="56"/>
        <v>-0.307286180858787-0.710043810821526i</v>
      </c>
      <c r="S202" s="81">
        <f t="shared" si="57"/>
        <v>-2.2287271189518472</v>
      </c>
      <c r="T202" s="81">
        <f t="shared" si="58"/>
        <v>-113.40154866685404</v>
      </c>
      <c r="U202" s="81" t="str">
        <f>IMPRODUCT(COMPLEX(-1,0),IMDIV(COMPLEX(1,C202*Calculations!$B$248*Calculations!$B$250),IMPRODUCT(COMPLEX(0,C202*Calculations!$B$237),COMPLEX((Calculations!$B$250+Calculations!$B$252),C202*Calculations!$B$248*Calculations!$B$250*Calculations!$B$252))))</f>
        <v>-1.42612032899558+0.331752383893771i</v>
      </c>
      <c r="V202" s="81">
        <f t="shared" si="59"/>
        <v>3.3120023721850385</v>
      </c>
      <c r="W202" s="81">
        <f t="shared" si="60"/>
        <v>166.9044291806666</v>
      </c>
      <c r="X202" s="81">
        <f>Calculations!$B$216/(Calculations!$B$216+Calculations!$B$218)</f>
        <v>0.80079681274900394</v>
      </c>
      <c r="Y202" s="81" t="str">
        <f t="shared" si="61"/>
        <v>0.539565518113501+0.729257621516189i</v>
      </c>
      <c r="Z202" s="81">
        <f t="shared" si="62"/>
        <v>-0.84627802797779916</v>
      </c>
      <c r="AA202" s="81">
        <f t="shared" si="63"/>
        <v>53.502880513812556</v>
      </c>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c r="BN202" s="44"/>
      <c r="BO202" s="44"/>
      <c r="BP202" s="44"/>
      <c r="BQ202" s="44"/>
      <c r="BR202" s="44"/>
      <c r="BS202" s="44"/>
      <c r="BT202" s="44"/>
      <c r="BU202" s="44"/>
      <c r="BV202" s="44"/>
      <c r="BW202" s="44"/>
      <c r="BX202" s="44"/>
      <c r="BY202" s="44"/>
      <c r="BZ202" s="44"/>
      <c r="CA202" s="44"/>
      <c r="CB202" s="44"/>
      <c r="CC202" s="44"/>
      <c r="CD202" s="44"/>
      <c r="CE202" s="44"/>
      <c r="CF202" s="44"/>
      <c r="CG202" s="44"/>
      <c r="CH202" s="44"/>
      <c r="CI202" s="44"/>
      <c r="CJ202" s="44"/>
      <c r="CK202" s="44"/>
      <c r="CL202" s="44"/>
      <c r="CM202" s="44"/>
      <c r="CN202" s="44"/>
      <c r="CO202" s="44"/>
      <c r="CP202" s="44"/>
    </row>
    <row r="203" spans="2:94">
      <c r="B203" s="1">
        <v>5994.8425031894185</v>
      </c>
      <c r="C203" s="1">
        <f t="shared" si="64"/>
        <v>37666.706334895447</v>
      </c>
      <c r="D203" s="80" t="str">
        <f>IMDIV(COMPLEX((POWER(V48_Nom,2)/(V12_Min*Calculations!$B$28*np)),((Zo_Boost_Cout*Zo_Boost_Resr*POWER(V48_Nom,2))/(V12_Min*Calculations!$B$28*np))*C203),COMPLEX(1,((Zo_Boost_Cout*Zo_Boost_Resr)+((Zo_Boost_Cout*POWER(V48_Nom,2))/(V12_Min*Calculations!$B$28*np)))*C203))</f>
        <v>0.0105748639997917-0.0439641300291723i</v>
      </c>
      <c r="E203" s="1">
        <f t="shared" si="65"/>
        <v>-26.893762487618748</v>
      </c>
      <c r="F203" s="1">
        <f t="shared" si="66"/>
        <v>-76.475345618403168</v>
      </c>
      <c r="G203" s="1" t="str">
        <f>IMDIV(IMSUM(COMPLEX(V48_Nom,0),IMPRODUCT(COMPLEX(np*(Calculations!$B$28*(V12_Min/V48_Nom)),0),D203)),IMSUM(IMPRODUCT(COMPLEX(((V12_Min/V48_Nom)^2),0),D203),COMPLEX(Rcs/np,(Lm*C203)/np)))</f>
        <v>-0.0887035224036817-561.493371149932i</v>
      </c>
      <c r="H203" s="1">
        <f t="shared" si="50"/>
        <v>54.98689277750475</v>
      </c>
      <c r="I203" s="1">
        <f t="shared" si="51"/>
        <v>-90.009051464684234</v>
      </c>
      <c r="J203" s="82" t="str">
        <f>IMPRODUCT(COMPLEX(-1,0),IMDIV(IMSUM(IMSUB(IMPRODUCT(COMPLEX((1-(V12_Min/V48_Nom))*V48_Nom,0),D203),IMPRODUCT(COMPLEX(V48_Nom,0),D203)),IMPRODUCT(COMPLEX(0,Calculations!$B$28*Lm*C203),D203)),IMSUM(IMPRODUCT(COMPLEX(((V12_Min/V48_Nom)^2),0),D203),COMPLEX(Rcs/np,(Lm*C203)/np))))</f>
        <v>-6.82144299754991+1.15048746593543i</v>
      </c>
      <c r="K203" s="81">
        <f t="shared" si="52"/>
        <v>16.799337274224023</v>
      </c>
      <c r="L203" s="81">
        <f t="shared" si="53"/>
        <v>170.42673073611184</v>
      </c>
      <c r="M203" s="1">
        <f t="shared" si="67"/>
        <v>0.66666666666666663</v>
      </c>
      <c r="N203" s="81">
        <f t="shared" si="68"/>
        <v>0.02</v>
      </c>
      <c r="O203" s="81" t="str">
        <f t="shared" si="69"/>
        <v>0.346500052503742-0.0732712433412314i</v>
      </c>
      <c r="P203" s="81">
        <f t="shared" si="54"/>
        <v>-9.0159524865071088</v>
      </c>
      <c r="Q203" s="81">
        <f t="shared" si="55"/>
        <v>-11.939928325308541</v>
      </c>
      <c r="R203" s="81" t="str">
        <f t="shared" si="56"/>
        <v>-0.322996690003186-0.529631456831694i</v>
      </c>
      <c r="S203" s="81">
        <f t="shared" si="57"/>
        <v>-4.1472392232534192</v>
      </c>
      <c r="T203" s="81">
        <f t="shared" si="58"/>
        <v>-121.37700157900278</v>
      </c>
      <c r="U203" s="81" t="str">
        <f>IMPRODUCT(COMPLEX(-1,0),IMDIV(COMPLEX(1,C203*Calculations!$B$248*Calculations!$B$250),IMPRODUCT(COMPLEX(0,C203*Calculations!$B$237),COMPLEX((Calculations!$B$250+Calculations!$B$252),C203*Calculations!$B$248*Calculations!$B$250*Calculations!$B$252))))</f>
        <v>-1.38414121470344+0.405912599078121i</v>
      </c>
      <c r="V203" s="81">
        <f t="shared" si="59"/>
        <v>3.1819108651218042</v>
      </c>
      <c r="W203" s="81">
        <f t="shared" si="60"/>
        <v>163.65572224169975</v>
      </c>
      <c r="X203" s="81">
        <f>Calculations!$B$216/(Calculations!$B$216+Calculations!$B$218)</f>
        <v>0.80079681274900394</v>
      </c>
      <c r="Y203" s="81" t="str">
        <f t="shared" si="61"/>
        <v>0.530173225181272+0.482060704049169i</v>
      </c>
      <c r="Z203" s="81">
        <f t="shared" si="62"/>
        <v>-2.8948816393425969</v>
      </c>
      <c r="AA203" s="81">
        <f t="shared" si="63"/>
        <v>42.278720662696983</v>
      </c>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c r="BD203" s="44"/>
      <c r="BE203" s="44"/>
      <c r="BF203" s="44"/>
      <c r="BG203" s="44"/>
      <c r="BH203" s="44"/>
      <c r="BI203" s="44"/>
      <c r="BJ203" s="44"/>
      <c r="BK203" s="44"/>
      <c r="BL203" s="44"/>
      <c r="BM203" s="44"/>
      <c r="BN203" s="44"/>
      <c r="BO203" s="44"/>
      <c r="BP203" s="44"/>
      <c r="BQ203" s="44"/>
      <c r="BR203" s="44"/>
      <c r="BS203" s="44"/>
      <c r="BT203" s="44"/>
      <c r="BU203" s="44"/>
      <c r="BV203" s="44"/>
      <c r="BW203" s="44"/>
      <c r="BX203" s="44"/>
      <c r="BY203" s="44"/>
      <c r="BZ203" s="44"/>
      <c r="CA203" s="44"/>
      <c r="CB203" s="44"/>
      <c r="CC203" s="44"/>
      <c r="CD203" s="44"/>
      <c r="CE203" s="44"/>
      <c r="CF203" s="44"/>
      <c r="CG203" s="44"/>
      <c r="CH203" s="44"/>
      <c r="CI203" s="44"/>
      <c r="CJ203" s="44"/>
      <c r="CK203" s="44"/>
      <c r="CL203" s="44"/>
      <c r="CM203" s="44"/>
      <c r="CN203" s="44"/>
      <c r="CO203" s="44"/>
      <c r="CP203" s="44"/>
    </row>
    <row r="204" spans="2:94">
      <c r="B204" s="1">
        <v>7742.6368268112792</v>
      </c>
      <c r="C204" s="1">
        <f t="shared" si="64"/>
        <v>48648.421949048206</v>
      </c>
      <c r="D204" s="80" t="str">
        <f>IMDIV(COMPLEX((POWER(V48_Nom,2)/(V12_Min*Calculations!$B$28*np)),((Zo_Boost_Cout*Zo_Boost_Resr*POWER(V48_Nom,2))/(V12_Min*Calculations!$B$28*np))*C204),COMPLEX(1,((Zo_Boost_Cout*Zo_Boost_Resr)+((Zo_Boost_Cout*POWER(V48_Nom,2))/(V12_Min*Calculations!$B$28*np)))*C204))</f>
        <v>0.0103321724320292-0.0340424194004785i</v>
      </c>
      <c r="E204" s="1">
        <f t="shared" si="65"/>
        <v>-28.97689771636319</v>
      </c>
      <c r="F204" s="1">
        <f t="shared" si="66"/>
        <v>-73.116496705143703</v>
      </c>
      <c r="G204" s="1" t="str">
        <f>IMDIV(IMSUM(COMPLEX(V48_Nom,0),IMPRODUCT(COMPLEX(np*(Calculations!$B$28*(V12_Min/V48_Nom)),0),D204)),IMSUM(IMPRODUCT(COMPLEX(((V12_Min/V48_Nom)^2),0),D204),COMPLEX(Rcs/np,(Lm*C204)/np)))</f>
        <v>-0.168185122122227-429.205275052811i</v>
      </c>
      <c r="H204" s="1">
        <f t="shared" si="50"/>
        <v>52.653301685397793</v>
      </c>
      <c r="I204" s="1">
        <f t="shared" si="51"/>
        <v>-90.022451488230416</v>
      </c>
      <c r="J204" s="82" t="str">
        <f>IMPRODUCT(COMPLEX(-1,0),IMDIV(IMSUM(IMSUB(IMPRODUCT(COMPLEX((1-(V12_Min/V48_Nom))*V48_Nom,0),D204),IMPRODUCT(COMPLEX(V48_Nom,0),D204)),IMPRODUCT(COMPLEX(0,Calculations!$B$28*Lm*C204),D204)),IMSUM(IMPRODUCT(COMPLEX(((V12_Min/V48_Nom)^2),0),D204),COMPLEX(Rcs/np,(Lm*C204)/np))))</f>
        <v>-4.28223467584876+0.932465426786867i</v>
      </c>
      <c r="K204" s="81">
        <f t="shared" si="52"/>
        <v>12.83460115025772</v>
      </c>
      <c r="L204" s="81">
        <f t="shared" si="53"/>
        <v>167.71549066587903</v>
      </c>
      <c r="M204" s="1">
        <f t="shared" si="67"/>
        <v>0.66666666666666663</v>
      </c>
      <c r="N204" s="81">
        <f t="shared" si="68"/>
        <v>0.02</v>
      </c>
      <c r="O204" s="81" t="str">
        <f t="shared" si="69"/>
        <v>0.342370101216694-0.0803128845713697i</v>
      </c>
      <c r="P204" s="81">
        <f t="shared" si="54"/>
        <v>-9.0774460951931957</v>
      </c>
      <c r="Q204" s="81">
        <f t="shared" si="55"/>
        <v>-13.201697630891994</v>
      </c>
      <c r="R204" s="81" t="str">
        <f t="shared" si="56"/>
        <v>-0.330959005014421-0.382258054403322i</v>
      </c>
      <c r="S204" s="81">
        <f t="shared" si="57"/>
        <v>-5.9234556783161141</v>
      </c>
      <c r="T204" s="81">
        <f t="shared" si="58"/>
        <v>-130.8860124217349</v>
      </c>
      <c r="U204" s="81" t="str">
        <f>IMPRODUCT(COMPLEX(-1,0),IMDIV(COMPLEX(1,C204*Calculations!$B$248*Calculations!$B$250),IMPRODUCT(COMPLEX(0,C204*Calculations!$B$237),COMPLEX((Calculations!$B$250+Calculations!$B$252),C204*Calculations!$B$248*Calculations!$B$250*Calculations!$B$252))))</f>
        <v>-1.31935807356751+0.492376049734435i</v>
      </c>
      <c r="V204" s="81">
        <f t="shared" si="59"/>
        <v>2.9735335259802307</v>
      </c>
      <c r="W204" s="81">
        <f t="shared" si="60"/>
        <v>159.53474524966273</v>
      </c>
      <c r="X204" s="81">
        <f>Calculations!$B$216/(Calculations!$B$216+Calculations!$B$218)</f>
        <v>0.80079681274900394</v>
      </c>
      <c r="Y204" s="81" t="str">
        <f t="shared" si="61"/>
        <v>0.500392419778793+0.273375185309915i</v>
      </c>
      <c r="Z204" s="81">
        <f t="shared" si="62"/>
        <v>-4.8794754335468564</v>
      </c>
      <c r="AA204" s="81">
        <f t="shared" si="63"/>
        <v>28.648732827927883</v>
      </c>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4"/>
      <c r="BW204" s="44"/>
      <c r="BX204" s="44"/>
      <c r="BY204" s="44"/>
      <c r="BZ204" s="44"/>
      <c r="CA204" s="44"/>
      <c r="CB204" s="44"/>
      <c r="CC204" s="44"/>
      <c r="CD204" s="44"/>
      <c r="CE204" s="44"/>
      <c r="CF204" s="44"/>
      <c r="CG204" s="44"/>
      <c r="CH204" s="44"/>
      <c r="CI204" s="44"/>
      <c r="CJ204" s="44"/>
      <c r="CK204" s="44"/>
      <c r="CL204" s="44"/>
      <c r="CM204" s="44"/>
      <c r="CN204" s="44"/>
      <c r="CO204" s="44"/>
      <c r="CP204" s="44"/>
    </row>
    <row r="205" spans="2:94">
      <c r="B205" s="1">
        <v>10000</v>
      </c>
      <c r="C205" s="1">
        <f t="shared" si="64"/>
        <v>62831.853071795864</v>
      </c>
      <c r="D205" s="80" t="str">
        <f>IMDIV(COMPLEX((POWER(V48_Nom,2)/(V12_Min*Calculations!$B$28*np)),((Zo_Boost_Cout*Zo_Boost_Resr*POWER(V48_Nom,2))/(V12_Min*Calculations!$B$28*np))*C205),COMPLEX(1,((Zo_Boost_Cout*Zo_Boost_Resr)+((Zo_Boost_Cout*POWER(V48_Nom,2))/(V12_Min*Calculations!$B$28*np)))*C205))</f>
        <v>0.0101866649512662-0.0263590114129517i</v>
      </c>
      <c r="E205" s="1">
        <f t="shared" si="65"/>
        <v>-30.976893880786527</v>
      </c>
      <c r="F205" s="1">
        <f t="shared" si="66"/>
        <v>-68.870549919131562</v>
      </c>
      <c r="G205" s="1" t="str">
        <f>IMDIV(IMSUM(COMPLEX(V48_Nom,0),IMPRODUCT(COMPLEX(np*(Calculations!$B$28*(V12_Min/V48_Nom)),0),D205)),IMSUM(IMPRODUCT(COMPLEX(((V12_Min/V48_Nom)^2),0),D205),COMPLEX(Rcs/np,(Lm*C205)/np)))</f>
        <v>-0.140504976251533-329.798039264618i</v>
      </c>
      <c r="H205" s="1">
        <f t="shared" si="50"/>
        <v>50.364962174707344</v>
      </c>
      <c r="I205" s="1">
        <f t="shared" si="51"/>
        <v>-90.024409913626798</v>
      </c>
      <c r="J205" s="82" t="str">
        <f>IMPRODUCT(COMPLEX(-1,0),IMDIV(IMSUM(IMSUB(IMPRODUCT(COMPLEX((1-(V12_Min/V48_Nom))*V48_Nom,0),D205),IMPRODUCT(COMPLEX(V48_Nom,0),D205)),IMPRODUCT(COMPLEX(0,Calculations!$B$28*Lm*C205),D205)),IMSUM(IMPRODUCT(COMPLEX(((V12_Min/V48_Nom)^2),0),D205),COMPLEX(Rcs/np,(Lm*C205)/np))))</f>
        <v>-2.79024462512993+0.740445968134945i</v>
      </c>
      <c r="K205" s="81">
        <f t="shared" si="52"/>
        <v>9.2083918093647998</v>
      </c>
      <c r="L205" s="81">
        <f t="shared" si="53"/>
        <v>165.13799030510324</v>
      </c>
      <c r="M205" s="1">
        <f t="shared" si="67"/>
        <v>0.66666666666666663</v>
      </c>
      <c r="N205" s="81">
        <f t="shared" si="68"/>
        <v>0.02</v>
      </c>
      <c r="O205" s="81" t="str">
        <f t="shared" si="69"/>
        <v>0.335695740456559-0.0916905027459127i</v>
      </c>
      <c r="P205" s="81">
        <f t="shared" si="54"/>
        <v>-9.1686023764271418</v>
      </c>
      <c r="Q205" s="81">
        <f t="shared" si="55"/>
        <v>-15.276899379354139</v>
      </c>
      <c r="R205" s="81" t="str">
        <f t="shared" si="56"/>
        <v>-0.332138985131021-0.258249842164112i</v>
      </c>
      <c r="S205" s="81">
        <f t="shared" si="57"/>
        <v>-7.5200394868968328</v>
      </c>
      <c r="T205" s="81">
        <f t="shared" si="58"/>
        <v>-142.13366764696337</v>
      </c>
      <c r="U205" s="81" t="str">
        <f>IMPRODUCT(COMPLEX(-1,0),IMDIV(COMPLEX(1,C205*Calculations!$B$248*Calculations!$B$250),IMPRODUCT(COMPLEX(0,C205*Calculations!$B$237),COMPLEX((Calculations!$B$250+Calculations!$B$252),C205*Calculations!$B$248*Calculations!$B$250*Calculations!$B$252))))</f>
        <v>-1.22381083960508+0.584600838067297i</v>
      </c>
      <c r="V205" s="81">
        <f t="shared" si="59"/>
        <v>2.6469297160170728</v>
      </c>
      <c r="W205" s="81">
        <f t="shared" si="60"/>
        <v>154.46671227629199</v>
      </c>
      <c r="X205" s="81">
        <f>Calculations!$B$216/(Calculations!$B$216+Calculations!$B$218)</f>
        <v>0.80079681274900394</v>
      </c>
      <c r="Y205" s="81" t="str">
        <f t="shared" si="61"/>
        <v>0.446402873498609+0.0976012974022682i</v>
      </c>
      <c r="Z205" s="81">
        <f t="shared" si="62"/>
        <v>-6.8026630520907441</v>
      </c>
      <c r="AA205" s="81">
        <f t="shared" si="63"/>
        <v>12.333044629328629</v>
      </c>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c r="BE205" s="44"/>
      <c r="BF205" s="44"/>
      <c r="BG205" s="44"/>
      <c r="BH205" s="44"/>
      <c r="BI205" s="44"/>
      <c r="BJ205" s="44"/>
      <c r="BK205" s="44"/>
      <c r="BL205" s="44"/>
      <c r="BM205" s="44"/>
      <c r="BN205" s="44"/>
      <c r="BO205" s="44"/>
      <c r="BP205" s="44"/>
      <c r="BQ205" s="44"/>
      <c r="BR205" s="44"/>
      <c r="BS205" s="44"/>
      <c r="BT205" s="44"/>
      <c r="BU205" s="44"/>
      <c r="BV205" s="44"/>
      <c r="BW205" s="44"/>
      <c r="BX205" s="44"/>
      <c r="BY205" s="44"/>
      <c r="BZ205" s="44"/>
      <c r="CA205" s="44"/>
      <c r="CB205" s="44"/>
      <c r="CC205" s="44"/>
      <c r="CD205" s="44"/>
      <c r="CE205" s="44"/>
      <c r="CF205" s="44"/>
      <c r="CG205" s="44"/>
      <c r="CH205" s="44"/>
      <c r="CI205" s="44"/>
      <c r="CJ205" s="44"/>
      <c r="CK205" s="44"/>
      <c r="CL205" s="44"/>
      <c r="CM205" s="44"/>
      <c r="CN205" s="44"/>
      <c r="CO205" s="44"/>
      <c r="CP205" s="44"/>
    </row>
    <row r="206" spans="2:94">
      <c r="B206" s="1">
        <v>12915.496650148847</v>
      </c>
      <c r="C206" s="1">
        <f t="shared" si="64"/>
        <v>81150.458787142401</v>
      </c>
      <c r="D206" s="80" t="str">
        <f>IMDIV(COMPLEX((POWER(V48_Nom,2)/(V12_Min*Calculations!$B$28*np)),((Zo_Boost_Cout*Zo_Boost_Resr*POWER(V48_Nom,2))/(V12_Min*Calculations!$B$28*np))*C206),COMPLEX(1,((Zo_Boost_Cout*Zo_Boost_Resr)+((Zo_Boost_Cout*POWER(V48_Nom,2))/(V12_Min*Calculations!$B$28*np)))*C206))</f>
        <v>0.010099429143298-0.0204093833940517i</v>
      </c>
      <c r="E206" s="1">
        <f t="shared" si="65"/>
        <v>-32.852165644888593</v>
      </c>
      <c r="F206" s="1">
        <f t="shared" si="66"/>
        <v>-63.671841179093228</v>
      </c>
      <c r="G206" s="1" t="str">
        <f>IMDIV(IMSUM(COMPLEX(V48_Nom,0),IMPRODUCT(COMPLEX(np*(Calculations!$B$28*(V12_Min/V48_Nom)),0),D206)),IMSUM(IMPRODUCT(COMPLEX(((V12_Min/V48_Nom)^2),0),D206),COMPLEX(Rcs/np,(Lm*C206)/np)))</f>
        <v>-0.098148115840114-254.194757779514i</v>
      </c>
      <c r="H206" s="1">
        <f t="shared" si="50"/>
        <v>48.103332445866528</v>
      </c>
      <c r="I206" s="1">
        <f t="shared" si="51"/>
        <v>-90.022122692751282</v>
      </c>
      <c r="J206" s="82" t="str">
        <f>IMPRODUCT(COMPLEX(-1,0),IMDIV(IMSUM(IMSUB(IMPRODUCT(COMPLEX((1-(V12_Min/V48_Nom))*V48_Nom,0),D206),IMPRODUCT(COMPLEX(V48_Nom,0),D206)),IMPRODUCT(COMPLEX(0,Calculations!$B$28*Lm*C206),D206)),IMSUM(IMPRODUCT(COMPLEX(((V12_Min/V48_Nom)^2),0),D206),COMPLEX(Rcs/np,(Lm*C206)/np))))</f>
        <v>-1.90642572434314+0.581639596562443i</v>
      </c>
      <c r="K206" s="81">
        <f t="shared" si="52"/>
        <v>5.9909272991148024</v>
      </c>
      <c r="L206" s="81">
        <f t="shared" si="53"/>
        <v>163.03335178437322</v>
      </c>
      <c r="M206" s="1">
        <f t="shared" si="67"/>
        <v>0.66666666666666663</v>
      </c>
      <c r="N206" s="81">
        <f t="shared" si="68"/>
        <v>0.02</v>
      </c>
      <c r="O206" s="81" t="str">
        <f t="shared" si="69"/>
        <v>0.325123089812645-0.107182777863433i</v>
      </c>
      <c r="P206" s="81">
        <f t="shared" si="54"/>
        <v>-9.3109769300876284</v>
      </c>
      <c r="Q206" s="81">
        <f t="shared" si="55"/>
        <v>-18.245749882897798</v>
      </c>
      <c r="R206" s="81" t="str">
        <f t="shared" si="56"/>
        <v>-0.324605197980039-0.149853430702091i</v>
      </c>
      <c r="S206" s="81">
        <f t="shared" si="57"/>
        <v>-8.9338560775010105</v>
      </c>
      <c r="T206" s="81">
        <f t="shared" si="58"/>
        <v>-155.21967256459652</v>
      </c>
      <c r="U206" s="81" t="str">
        <f>IMPRODUCT(COMPLEX(-1,0),IMDIV(COMPLEX(1,C206*Calculations!$B$248*Calculations!$B$250),IMPRODUCT(COMPLEX(0,C206*Calculations!$B$237),COMPLEX((Calculations!$B$250+Calculations!$B$252),C206*Calculations!$B$248*Calculations!$B$250*Calculations!$B$252))))</f>
        <v>-1.0919054080287+0.670017653337376i</v>
      </c>
      <c r="V206" s="81">
        <f t="shared" si="59"/>
        <v>2.1515650056008671</v>
      </c>
      <c r="W206" s="81">
        <f t="shared" si="60"/>
        <v>148.46578792001438</v>
      </c>
      <c r="X206" s="81">
        <f>Calculations!$B$216/(Calculations!$B$216+Calculations!$B$218)</f>
        <v>0.80079681274900394</v>
      </c>
      <c r="Y206" s="81" t="str">
        <f t="shared" si="61"/>
        <v>0.364236516500289-0.043135273963757i</v>
      </c>
      <c r="Z206" s="81">
        <f t="shared" si="62"/>
        <v>-8.7118443531111254</v>
      </c>
      <c r="AA206" s="81">
        <f t="shared" si="63"/>
        <v>-6.7538846445821612</v>
      </c>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c r="BE206" s="44"/>
      <c r="BF206" s="44"/>
      <c r="BG206" s="44"/>
      <c r="BH206" s="44"/>
      <c r="BI206" s="44"/>
      <c r="BJ206" s="44"/>
      <c r="BK206" s="44"/>
      <c r="BL206" s="44"/>
      <c r="BM206" s="44"/>
      <c r="BN206" s="44"/>
      <c r="BO206" s="44"/>
      <c r="BP206" s="44"/>
      <c r="BQ206" s="44"/>
      <c r="BR206" s="44"/>
      <c r="BS206" s="44"/>
      <c r="BT206" s="44"/>
      <c r="BU206" s="44"/>
      <c r="BV206" s="44"/>
      <c r="BW206" s="44"/>
      <c r="BX206" s="44"/>
      <c r="BY206" s="44"/>
      <c r="BZ206" s="44"/>
      <c r="CA206" s="44"/>
      <c r="CB206" s="44"/>
      <c r="CC206" s="44"/>
      <c r="CD206" s="44"/>
      <c r="CE206" s="44"/>
      <c r="CF206" s="44"/>
      <c r="CG206" s="44"/>
      <c r="CH206" s="44"/>
      <c r="CI206" s="44"/>
      <c r="CJ206" s="44"/>
      <c r="CK206" s="44"/>
      <c r="CL206" s="44"/>
      <c r="CM206" s="44"/>
      <c r="CN206" s="44"/>
      <c r="CO206" s="44"/>
      <c r="CP206" s="44"/>
    </row>
    <row r="207" spans="2:94">
      <c r="B207" s="1">
        <v>16681.005372000593</v>
      </c>
      <c r="C207" s="1">
        <f t="shared" si="64"/>
        <v>104809.84786233788</v>
      </c>
      <c r="D207" s="80" t="str">
        <f>IMDIV(COMPLEX((POWER(V48_Nom,2)/(V12_Min*Calculations!$B$28*np)),((Zo_Boost_Cout*Zo_Boost_Resr*POWER(V48_Nom,2))/(V12_Min*Calculations!$B$28*np))*C207),COMPLEX(1,((Zo_Boost_Cout*Zo_Boost_Resr)+((Zo_Boost_Cout*POWER(V48_Nom,2))/(V12_Min*Calculations!$B$28*np)))*C207))</f>
        <v>0.0100471303627093-0.0158025034275126i</v>
      </c>
      <c r="E207" s="1">
        <f t="shared" si="65"/>
        <v>-34.55108888002065</v>
      </c>
      <c r="F207" s="1">
        <f t="shared" si="66"/>
        <v>-57.552060895299398</v>
      </c>
      <c r="G207" s="1" t="str">
        <f>IMDIV(IMSUM(COMPLEX(V48_Nom,0),IMPRODUCT(COMPLEX(np*(Calculations!$B$28*(V12_Min/V48_Nom)),0),D207)),IMSUM(IMPRODUCT(COMPLEX(((V12_Min/V48_Nom)^2),0),D207),COMPLEX(Rcs/np,(Lm*C207)/np)))</f>
        <v>-0.0637677064186711-196.281040649584i</v>
      </c>
      <c r="H207" s="1">
        <f t="shared" si="50"/>
        <v>45.857567495832299</v>
      </c>
      <c r="I207" s="1">
        <f t="shared" si="51"/>
        <v>-90.018614229404861</v>
      </c>
      <c r="J207" s="82" t="str">
        <f>IMPRODUCT(COMPLEX(-1,0),IMDIV(IMSUM(IMSUB(IMPRODUCT(COMPLEX((1-(V12_Min/V48_Nom))*V48_Nom,0),D207),IMPRODUCT(COMPLEX(V48_Nom,0),D207)),IMPRODUCT(COMPLEX(0,Calculations!$B$28*Lm*C207),D207)),IMSUM(IMPRODUCT(COMPLEX(((V12_Min/V48_Nom)^2),0),D207),COMPLEX(Rcs/np,(Lm*C207)/np))))</f>
        <v>-1.38034776858577+0.454149289114114i</v>
      </c>
      <c r="K207" s="81">
        <f t="shared" si="52"/>
        <v>3.2461402656666571</v>
      </c>
      <c r="L207" s="81">
        <f t="shared" si="53"/>
        <v>161.78823738450436</v>
      </c>
      <c r="M207" s="1">
        <f t="shared" si="67"/>
        <v>0.66666666666666663</v>
      </c>
      <c r="N207" s="81">
        <f t="shared" si="68"/>
        <v>0.02</v>
      </c>
      <c r="O207" s="81" t="str">
        <f t="shared" si="69"/>
        <v>0.30889486688978-0.125997428369881i</v>
      </c>
      <c r="P207" s="81">
        <f t="shared" si="54"/>
        <v>-9.5353843041664561</v>
      </c>
      <c r="Q207" s="81">
        <f t="shared" si="55"/>
        <v>-22.190422149697021</v>
      </c>
      <c r="R207" s="81" t="str">
        <f t="shared" si="56"/>
        <v>-0.303206213462535-0.0531506161241526i</v>
      </c>
      <c r="S207" s="81">
        <f t="shared" si="57"/>
        <v>-10.233795499705248</v>
      </c>
      <c r="T207" s="81">
        <f t="shared" si="58"/>
        <v>-170.05734010568412</v>
      </c>
      <c r="U207" s="81" t="str">
        <f>IMPRODUCT(COMPLEX(-1,0),IMDIV(COMPLEX(1,C207*Calculations!$B$248*Calculations!$B$250),IMPRODUCT(COMPLEX(0,C207*Calculations!$B$237),COMPLEX((Calculations!$B$250+Calculations!$B$252),C207*Calculations!$B$248*Calculations!$B$250*Calculations!$B$252))))</f>
        <v>-0.92550662757743+0.731095192076906i</v>
      </c>
      <c r="V207" s="81">
        <f t="shared" si="59"/>
        <v>1.4334670482601131</v>
      </c>
      <c r="W207" s="81">
        <f t="shared" si="60"/>
        <v>141.69336265045951</v>
      </c>
      <c r="X207" s="81">
        <f>Calculations!$B$216/(Calculations!$B$216+Calculations!$B$218)</f>
        <v>0.80079681274900394</v>
      </c>
      <c r="Y207" s="81" t="str">
        <f t="shared" si="61"/>
        <v>0.255836579750166-0.138122521254593i</v>
      </c>
      <c r="Z207" s="81">
        <f t="shared" si="62"/>
        <v>-10.729881732656137</v>
      </c>
      <c r="AA207" s="81">
        <f t="shared" si="63"/>
        <v>-28.363977455224667</v>
      </c>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c r="BE207" s="44"/>
      <c r="BF207" s="44"/>
      <c r="BG207" s="44"/>
      <c r="BH207" s="44"/>
      <c r="BI207" s="44"/>
      <c r="BJ207" s="44"/>
      <c r="BK207" s="44"/>
      <c r="BL207" s="44"/>
      <c r="BM207" s="44"/>
      <c r="BN207" s="44"/>
      <c r="BO207" s="44"/>
      <c r="BP207" s="44"/>
      <c r="BQ207" s="44"/>
      <c r="BR207" s="44"/>
      <c r="BS207" s="44"/>
      <c r="BT207" s="44"/>
      <c r="BU207" s="44"/>
      <c r="BV207" s="44"/>
      <c r="BW207" s="44"/>
      <c r="BX207" s="44"/>
      <c r="BY207" s="44"/>
      <c r="BZ207" s="44"/>
      <c r="CA207" s="44"/>
      <c r="CB207" s="44"/>
      <c r="CC207" s="44"/>
      <c r="CD207" s="44"/>
      <c r="CE207" s="44"/>
      <c r="CF207" s="44"/>
      <c r="CG207" s="44"/>
      <c r="CH207" s="44"/>
      <c r="CI207" s="44"/>
      <c r="CJ207" s="44"/>
      <c r="CK207" s="44"/>
      <c r="CL207" s="44"/>
      <c r="CM207" s="44"/>
      <c r="CN207" s="44"/>
      <c r="CO207" s="44"/>
      <c r="CP207" s="44"/>
    </row>
    <row r="208" spans="2:94">
      <c r="B208" s="1">
        <v>21544.346900318837</v>
      </c>
      <c r="C208" s="1">
        <f t="shared" si="64"/>
        <v>135367.12389686337</v>
      </c>
      <c r="D208" s="80" t="str">
        <f>IMDIV(COMPLEX((POWER(V48_Nom,2)/(V12_Min*Calculations!$B$28*np)),((Zo_Boost_Cout*Zo_Boost_Resr*POWER(V48_Nom,2))/(V12_Min*Calculations!$B$28*np))*C208),COMPLEX(1,((Zo_Boost_Cout*Zo_Boost_Resr)+((Zo_Boost_Cout*POWER(V48_Nom,2))/(V12_Min*Calculations!$B$28*np)))*C208))</f>
        <v>0.0100157772452535-0.0122354247566106i</v>
      </c>
      <c r="E208" s="1">
        <f t="shared" si="65"/>
        <v>-36.020227950752485</v>
      </c>
      <c r="F208" s="1">
        <f t="shared" si="66"/>
        <v>-50.696640410242473</v>
      </c>
      <c r="G208" s="1" t="str">
        <f>IMDIV(IMSUM(COMPLEX(V48_Nom,0),IMPRODUCT(COMPLEX(np*(Calculations!$B$28*(V12_Min/V48_Nom)),0),D208)),IMSUM(IMPRODUCT(COMPLEX(((V12_Min/V48_Nom)^2),0),D208),COMPLEX(Rcs/np,(Lm*C208)/np)))</f>
        <v>-0.0399839239317784-151.727055367131i</v>
      </c>
      <c r="H208" s="1">
        <f t="shared" si="50"/>
        <v>43.621260888853413</v>
      </c>
      <c r="I208" s="1">
        <f t="shared" si="51"/>
        <v>-90.01509888945705</v>
      </c>
      <c r="J208" s="82" t="str">
        <f>IMPRODUCT(COMPLEX(-1,0),IMDIV(IMSUM(IMSUB(IMPRODUCT(COMPLEX((1-(V12_Min/V48_Nom))*V48_Nom,0),D208),IMPRODUCT(COMPLEX(V48_Nom,0),D208)),IMPRODUCT(COMPLEX(0,Calculations!$B$28*Lm*C208),D208)),IMSUM(IMPRODUCT(COMPLEX(((V12_Min/V48_Nom)^2),0),D208),COMPLEX(Rcs/np,(Lm*C208)/np))))</f>
        <v>-1.06631127740945+0.353380775479563i</v>
      </c>
      <c r="K208" s="81">
        <f t="shared" si="52"/>
        <v>1.0102415319421754</v>
      </c>
      <c r="L208" s="81">
        <f t="shared" si="53"/>
        <v>161.66455095070935</v>
      </c>
      <c r="M208" s="1">
        <f t="shared" si="67"/>
        <v>0.66666666666666663</v>
      </c>
      <c r="N208" s="81">
        <f t="shared" si="68"/>
        <v>0.02</v>
      </c>
      <c r="O208" s="81" t="str">
        <f t="shared" si="69"/>
        <v>0.285152573422157-0.146275197753067i</v>
      </c>
      <c r="P208" s="81">
        <f t="shared" si="54"/>
        <v>-9.8839393638319333</v>
      </c>
      <c r="Q208" s="81">
        <f t="shared" si="55"/>
        <v>-27.156539526718106</v>
      </c>
      <c r="R208" s="81" t="str">
        <f t="shared" si="56"/>
        <v>-0.262203595566398+0.0283043035721398i</v>
      </c>
      <c r="S208" s="81">
        <f t="shared" si="57"/>
        <v>-11.576912567787192</v>
      </c>
      <c r="T208" s="81">
        <f t="shared" si="58"/>
        <v>173.83890343820013</v>
      </c>
      <c r="U208" s="81" t="str">
        <f>IMPRODUCT(COMPLEX(-1,0),IMDIV(COMPLEX(1,C208*Calculations!$B$248*Calculations!$B$250),IMPRODUCT(COMPLEX(0,C208*Calculations!$B$237),COMPLEX((Calculations!$B$250+Calculations!$B$252),C208*Calculations!$B$248*Calculations!$B$250*Calculations!$B$252))))</f>
        <v>-0.73792180811062+0.751386851067721i</v>
      </c>
      <c r="V208" s="81">
        <f t="shared" si="59"/>
        <v>0.44974932249588606</v>
      </c>
      <c r="W208" s="81">
        <f t="shared" si="60"/>
        <v>134.4819951474845</v>
      </c>
      <c r="X208" s="81">
        <f>Calculations!$B$216/(Calculations!$B$216+Calculations!$B$218)</f>
        <v>0.80079681274900394</v>
      </c>
      <c r="Y208" s="81" t="str">
        <f t="shared" si="61"/>
        <v>0.13791184155357-0.174495785151345i</v>
      </c>
      <c r="Z208" s="81">
        <f t="shared" si="62"/>
        <v>-13.056716526502301</v>
      </c>
      <c r="AA208" s="81">
        <f t="shared" si="63"/>
        <v>-51.679101414315447</v>
      </c>
      <c r="AB208" s="44"/>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c r="BE208" s="44"/>
      <c r="BF208" s="44"/>
      <c r="BG208" s="44"/>
      <c r="BH208" s="44"/>
      <c r="BI208" s="44"/>
      <c r="BJ208" s="44"/>
      <c r="BK208" s="44"/>
      <c r="BL208" s="44"/>
      <c r="BM208" s="44"/>
      <c r="BN208" s="44"/>
      <c r="BO208" s="44"/>
      <c r="BP208" s="44"/>
      <c r="BQ208" s="44"/>
      <c r="BR208" s="44"/>
      <c r="BS208" s="44"/>
      <c r="BT208" s="44"/>
      <c r="BU208" s="44"/>
      <c r="BV208" s="44"/>
      <c r="BW208" s="44"/>
      <c r="BX208" s="44"/>
      <c r="BY208" s="44"/>
      <c r="BZ208" s="44"/>
      <c r="CA208" s="44"/>
      <c r="CB208" s="44"/>
      <c r="CC208" s="44"/>
      <c r="CD208" s="44"/>
      <c r="CE208" s="44"/>
      <c r="CF208" s="44"/>
      <c r="CG208" s="44"/>
      <c r="CH208" s="44"/>
      <c r="CI208" s="44"/>
      <c r="CJ208" s="44"/>
      <c r="CK208" s="44"/>
      <c r="CL208" s="44"/>
      <c r="CM208" s="44"/>
      <c r="CN208" s="44"/>
      <c r="CO208" s="44"/>
      <c r="CP208" s="44"/>
    </row>
    <row r="209" spans="1:94">
      <c r="B209" s="1">
        <v>27825.594022071291</v>
      </c>
      <c r="C209" s="1">
        <f t="shared" si="64"/>
        <v>174833.36352302248</v>
      </c>
      <c r="D209" s="80" t="str">
        <f>IMDIV(COMPLEX((POWER(V48_Nom,2)/(V12_Min*Calculations!$B$28*np)),((Zo_Boost_Cout*Zo_Boost_Resr*POWER(V48_Nom,2))/(V12_Min*Calculations!$B$28*np))*C209),COMPLEX(1,((Zo_Boost_Cout*Zo_Boost_Resr)+((Zo_Boost_Cout*POWER(V48_Nom,2))/(V12_Min*Calculations!$B$28*np)))*C209))</f>
        <v>0.00999698124965391-0.00947350085056651i</v>
      </c>
      <c r="E209" s="1">
        <f t="shared" si="65"/>
        <v>-37.219627697803134</v>
      </c>
      <c r="F209" s="1">
        <f t="shared" si="66"/>
        <v>-43.459925457902493</v>
      </c>
      <c r="G209" s="1" t="str">
        <f>IMDIV(IMSUM(COMPLEX(V48_Nom,0),IMPRODUCT(COMPLEX(np*(Calculations!$B$28*(V12_Min/V48_Nom)),0),D209)),IMSUM(IMPRODUCT(COMPLEX(((V12_Min/V48_Nom)^2),0),D209),COMPLEX(Rcs/np,(Lm*C209)/np)))</f>
        <v>-0.0245975892304353-117.36274989417i</v>
      </c>
      <c r="H209" s="1">
        <f t="shared" si="50"/>
        <v>41.390605726538823</v>
      </c>
      <c r="I209" s="1">
        <f t="shared" si="51"/>
        <v>-90.012008393035572</v>
      </c>
      <c r="J209" s="82" t="str">
        <f>IMPRODUCT(COMPLEX(-1,0),IMDIV(IMSUM(IMSUB(IMPRODUCT(COMPLEX((1-(V12_Min/V48_Nom))*V48_Nom,0),D209),IMPRODUCT(COMPLEX(V48_Nom,0),D209)),IMPRODUCT(COMPLEX(0,Calculations!$B$28*Lm*C209),D209)),IMSUM(IMPRODUCT(COMPLEX(((V12_Min/V48_Nom)^2),0),D209),COMPLEX(Rcs/np,(Lm*C209)/np))))</f>
        <v>-0.878530101780112+0.274417099485973i</v>
      </c>
      <c r="K209" s="81">
        <f t="shared" si="52"/>
        <v>-0.7205512405809068</v>
      </c>
      <c r="L209" s="81">
        <f t="shared" si="53"/>
        <v>162.6533168755048</v>
      </c>
      <c r="M209" s="1">
        <f t="shared" si="67"/>
        <v>0.66666666666666663</v>
      </c>
      <c r="N209" s="81">
        <f t="shared" si="68"/>
        <v>0.02</v>
      </c>
      <c r="O209" s="81" t="str">
        <f t="shared" si="69"/>
        <v>0.252746967047445-0.164742069609581i</v>
      </c>
      <c r="P209" s="81">
        <f t="shared" si="54"/>
        <v>-10.408584983476246</v>
      </c>
      <c r="Q209" s="81">
        <f t="shared" si="55"/>
        <v>-33.09656274540918</v>
      </c>
      <c r="R209" s="81" t="str">
        <f t="shared" si="56"/>
        <v>-0.203543608878069+0.0838593156820917i</v>
      </c>
      <c r="S209" s="81">
        <f t="shared" si="57"/>
        <v>-13.145952116980862</v>
      </c>
      <c r="T209" s="81">
        <f t="shared" si="58"/>
        <v>157.60849564289603</v>
      </c>
      <c r="U209" s="81" t="str">
        <f>IMPRODUCT(COMPLEX(-1,0),IMDIV(COMPLEX(1,C209*Calculations!$B$248*Calculations!$B$250),IMPRODUCT(COMPLEX(0,C209*Calculations!$B$237),COMPLEX((Calculations!$B$250+Calculations!$B$252),C209*Calculations!$B$248*Calculations!$B$250*Calculations!$B$252))))</f>
        <v>-0.551471388841916+0.72439529741993i</v>
      </c>
      <c r="V209" s="81">
        <f t="shared" si="59"/>
        <v>-0.8151397727119174</v>
      </c>
      <c r="W209" s="81">
        <f t="shared" si="60"/>
        <v>127.28147988932153</v>
      </c>
      <c r="X209" s="81">
        <f>Calculations!$B$216/(Calculations!$B$216+Calculations!$B$218)</f>
        <v>0.80079681274900394</v>
      </c>
      <c r="Y209" s="81" t="str">
        <f t="shared" si="61"/>
        <v>0.0412419830013454-0.155107973394086i</v>
      </c>
      <c r="Z209" s="81">
        <f t="shared" si="62"/>
        <v>-15.890645170903806</v>
      </c>
      <c r="AA209" s="81">
        <f t="shared" si="63"/>
        <v>-75.110024467782367</v>
      </c>
      <c r="AB209" s="44"/>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c r="BD209" s="44"/>
      <c r="BE209" s="44"/>
      <c r="BF209" s="44"/>
      <c r="BG209" s="44"/>
      <c r="BH209" s="44"/>
      <c r="BI209" s="44"/>
      <c r="BJ209" s="44"/>
      <c r="BK209" s="44"/>
      <c r="BL209" s="44"/>
      <c r="BM209" s="44"/>
      <c r="BN209" s="44"/>
      <c r="BO209" s="44"/>
      <c r="BP209" s="44"/>
      <c r="BQ209" s="44"/>
      <c r="BR209" s="44"/>
      <c r="BS209" s="44"/>
      <c r="BT209" s="44"/>
      <c r="BU209" s="44"/>
      <c r="BV209" s="44"/>
      <c r="BW209" s="44"/>
      <c r="BX209" s="44"/>
      <c r="BY209" s="44"/>
      <c r="BZ209" s="44"/>
      <c r="CA209" s="44"/>
      <c r="CB209" s="44"/>
      <c r="CC209" s="44"/>
      <c r="CD209" s="44"/>
      <c r="CE209" s="44"/>
      <c r="CF209" s="44"/>
      <c r="CG209" s="44"/>
      <c r="CH209" s="44"/>
      <c r="CI209" s="44"/>
      <c r="CJ209" s="44"/>
      <c r="CK209" s="44"/>
      <c r="CL209" s="44"/>
      <c r="CM209" s="44"/>
      <c r="CN209" s="44"/>
      <c r="CO209" s="44"/>
      <c r="CP209" s="44"/>
    </row>
    <row r="210" spans="1:94">
      <c r="B210" s="1">
        <v>35938.136638046322</v>
      </c>
      <c r="C210" s="1">
        <f t="shared" si="64"/>
        <v>225805.97209158502</v>
      </c>
      <c r="D210" s="80" t="str">
        <f>IMDIV(COMPLEX((POWER(V48_Nom,2)/(V12_Min*Calculations!$B$28*np)),((Zo_Boost_Cout*Zo_Boost_Resr*POWER(V48_Nom,2))/(V12_Min*Calculations!$B$28*np))*C210),COMPLEX(1,((Zo_Boost_Cout*Zo_Boost_Resr)+((Zo_Boost_Cout*POWER(V48_Nom,2))/(V12_Min*Calculations!$B$28*np)))*C210))</f>
        <v>0.00998571324012854-0.00733501356573161i</v>
      </c>
      <c r="E210" s="1">
        <f t="shared" si="65"/>
        <v>-38.138438280056128</v>
      </c>
      <c r="F210" s="1">
        <f t="shared" si="66"/>
        <v>-36.299172463170734</v>
      </c>
      <c r="G210" s="1" t="str">
        <f>IMDIV(IMSUM(COMPLEX(V48_Nom,0),IMPRODUCT(COMPLEX(np*(Calculations!$B$28*(V12_Min/V48_Nom)),0),D210)),IMSUM(IMPRODUCT(COMPLEX(((V12_Min/V48_Nom)^2),0),D210),COMPLEX(Rcs/np,(Lm*C210)/np)))</f>
        <v>-0.0149708029257181-90.8168816439694i</v>
      </c>
      <c r="H210" s="1">
        <f t="shared" si="50"/>
        <v>39.163331829265019</v>
      </c>
      <c r="I210" s="1">
        <f t="shared" si="51"/>
        <v>-90.009444982037138</v>
      </c>
      <c r="J210" s="82" t="str">
        <f>IMPRODUCT(COMPLEX(-1,0),IMDIV(IMSUM(IMSUB(IMPRODUCT(COMPLEX((1-(V12_Min/V48_Nom))*V48_Nom,0),D210),IMPRODUCT(COMPLEX(V48_Nom,0),D210)),IMPRODUCT(COMPLEX(0,Calculations!$B$28*Lm*C210),D210)),IMSUM(IMPRODUCT(COMPLEX(((V12_Min/V48_Nom)^2),0),D210),COMPLEX(Rcs/np,(Lm*C210)/np))))</f>
        <v>-0.76612977691684+0.212844523713184i</v>
      </c>
      <c r="K210" s="81">
        <f t="shared" si="52"/>
        <v>-1.9910592344943834</v>
      </c>
      <c r="L210" s="81">
        <f t="shared" si="53"/>
        <v>164.47375778279434</v>
      </c>
      <c r="M210" s="1">
        <f t="shared" si="67"/>
        <v>0.66666666666666663</v>
      </c>
      <c r="N210" s="81">
        <f t="shared" si="68"/>
        <v>0.02</v>
      </c>
      <c r="O210" s="81" t="str">
        <f t="shared" si="69"/>
        <v>0.212469537097482-0.177101538809025i</v>
      </c>
      <c r="P210" s="81">
        <f t="shared" si="54"/>
        <v>-11.162916792252268</v>
      </c>
      <c r="Q210" s="81">
        <f t="shared" si="55"/>
        <v>-39.812507808158429</v>
      </c>
      <c r="R210" s="81" t="str">
        <f t="shared" si="56"/>
        <v>-0.141288263680263+0.107266435968948i</v>
      </c>
      <c r="S210" s="81">
        <f t="shared" si="57"/>
        <v>-15.021244860183762</v>
      </c>
      <c r="T210" s="81">
        <f t="shared" si="58"/>
        <v>142.79413252752713</v>
      </c>
      <c r="U210" s="81" t="str">
        <f>IMPRODUCT(COMPLEX(-1,0),IMDIV(COMPLEX(1,C210*Calculations!$B$248*Calculations!$B$250),IMPRODUCT(COMPLEX(0,C210*Calculations!$B$237),COMPLEX((Calculations!$B$250+Calculations!$B$252),C210*Calculations!$B$248*Calculations!$B$250*Calculations!$B$252))))</f>
        <v>-0.38795624300659+0.657717557967198i</v>
      </c>
      <c r="V210" s="81">
        <f t="shared" si="59"/>
        <v>-2.3425514681569974</v>
      </c>
      <c r="W210" s="81">
        <f t="shared" si="60"/>
        <v>120.534328880438</v>
      </c>
      <c r="X210" s="81">
        <f>Calculations!$B$216/(Calculations!$B$216+Calculations!$B$218)</f>
        <v>0.80079681274900394</v>
      </c>
      <c r="Y210" s="81" t="str">
        <f t="shared" si="61"/>
        <v>-0.0126024232118065-0.107741169348773i</v>
      </c>
      <c r="Z210" s="81">
        <f t="shared" si="62"/>
        <v>-19.293349609551758</v>
      </c>
      <c r="AA210" s="81">
        <f t="shared" si="63"/>
        <v>-96.671538592034878</v>
      </c>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4"/>
      <c r="BG210" s="44"/>
      <c r="BH210" s="44"/>
      <c r="BI210" s="44"/>
      <c r="BJ210" s="44"/>
      <c r="BK210" s="44"/>
      <c r="BL210" s="44"/>
      <c r="BM210" s="44"/>
      <c r="BN210" s="44"/>
      <c r="BO210" s="44"/>
      <c r="BP210" s="44"/>
      <c r="BQ210" s="44"/>
      <c r="BR210" s="44"/>
      <c r="BS210" s="44"/>
      <c r="BT210" s="44"/>
      <c r="BU210" s="44"/>
      <c r="BV210" s="44"/>
      <c r="BW210" s="44"/>
      <c r="BX210" s="44"/>
      <c r="BY210" s="44"/>
      <c r="BZ210" s="44"/>
      <c r="CA210" s="44"/>
      <c r="CB210" s="44"/>
      <c r="CC210" s="44"/>
      <c r="CD210" s="44"/>
      <c r="CE210" s="44"/>
      <c r="CF210" s="44"/>
      <c r="CG210" s="44"/>
      <c r="CH210" s="44"/>
      <c r="CI210" s="44"/>
      <c r="CJ210" s="44"/>
      <c r="CK210" s="44"/>
      <c r="CL210" s="44"/>
      <c r="CM210" s="44"/>
      <c r="CN210" s="44"/>
      <c r="CO210" s="44"/>
      <c r="CP210" s="44"/>
    </row>
    <row r="211" spans="1:94">
      <c r="B211" s="1">
        <v>46415.888336127755</v>
      </c>
      <c r="C211" s="1">
        <f t="shared" si="64"/>
        <v>291639.62761324627</v>
      </c>
      <c r="D211" s="80" t="str">
        <f>IMDIV(COMPLEX((POWER(V48_Nom,2)/(V12_Min*Calculations!$B$28*np)),((Zo_Boost_Cout*Zo_Boost_Resr*POWER(V48_Nom,2))/(V12_Min*Calculations!$B$28*np))*C211),COMPLEX(1,((Zo_Boost_Cout*Zo_Boost_Resr)+((Zo_Boost_Cout*POWER(V48_Nom,2))/(V12_Min*Calculations!$B$28*np)))*C211))</f>
        <v>0.00997895820772095-0.00567924664201409i</v>
      </c>
      <c r="E211" s="1">
        <f t="shared" si="65"/>
        <v>-38.799743847544185</v>
      </c>
      <c r="F211" s="1">
        <f t="shared" si="66"/>
        <v>-29.645165035281867</v>
      </c>
      <c r="G211" s="1" t="str">
        <f>IMDIV(IMSUM(COMPLEX(V48_Nom,0),IMPRODUCT(COMPLEX(np*(Calculations!$B$28*(V12_Min/V48_Nom)),0),D211)),IMSUM(IMPRODUCT(COMPLEX(((V12_Min/V48_Nom)^2),0),D211),COMPLEX(Rcs/np,(Lm*C211)/np)))</f>
        <v>-0.00905544690255886-70.2917124722946i</v>
      </c>
      <c r="H211" s="1">
        <f t="shared" si="50"/>
        <v>36.938082549793208</v>
      </c>
      <c r="I211" s="1">
        <f t="shared" si="51"/>
        <v>-90.007381224158607</v>
      </c>
      <c r="J211" s="82" t="str">
        <f>IMPRODUCT(COMPLEX(-1,0),IMDIV(IMSUM(IMSUB(IMPRODUCT(COMPLEX((1-(V12_Min/V48_Nom))*V48_Nom,0),D211),IMPRODUCT(COMPLEX(V48_Nom,0),D211)),IMPRODUCT(COMPLEX(0,Calculations!$B$28*Lm*C211),D211)),IMSUM(IMPRODUCT(COMPLEX(((V12_Min/V48_Nom)^2),0),D211),COMPLEX(Rcs/np,(Lm*C211)/np))))</f>
        <v>-0.698809085653975+0.164970697600753i</v>
      </c>
      <c r="K211" s="81">
        <f t="shared" si="52"/>
        <v>-2.8772965589820454</v>
      </c>
      <c r="L211" s="81">
        <f t="shared" si="53"/>
        <v>166.71714433865361</v>
      </c>
      <c r="M211" s="1">
        <f t="shared" si="67"/>
        <v>0.66666666666666663</v>
      </c>
      <c r="N211" s="81">
        <f t="shared" si="68"/>
        <v>0.02</v>
      </c>
      <c r="O211" s="81" t="str">
        <f t="shared" si="69"/>
        <v>0.167850462179051-0.179621586530411i</v>
      </c>
      <c r="P211" s="81">
        <f t="shared" si="54"/>
        <v>-12.1869212888273</v>
      </c>
      <c r="Q211" s="81">
        <f t="shared" si="55"/>
        <v>-46.940236424713852</v>
      </c>
      <c r="R211" s="81" t="str">
        <f t="shared" si="56"/>
        <v>-0.0902740456986233+0.105745665689023i</v>
      </c>
      <c r="S211" s="81">
        <f t="shared" si="57"/>
        <v>-17.137333422735619</v>
      </c>
      <c r="T211" s="81">
        <f t="shared" si="58"/>
        <v>130.48706321210503</v>
      </c>
      <c r="U211" s="81" t="str">
        <f>IMPRODUCT(COMPLEX(-1,0),IMDIV(COMPLEX(1,C211*Calculations!$B$248*Calculations!$B$250),IMPRODUCT(COMPLEX(0,C211*Calculations!$B$237),COMPLEX((Calculations!$B$250+Calculations!$B$252),C211*Calculations!$B$248*Calculations!$B$250*Calculations!$B$252))))</f>
        <v>-0.259571339106265+0.568120367487797i</v>
      </c>
      <c r="V211" s="81">
        <f t="shared" si="59"/>
        <v>-4.0878171105719039</v>
      </c>
      <c r="W211" s="81">
        <f t="shared" si="60"/>
        <v>114.55542245984768</v>
      </c>
      <c r="X211" s="81">
        <f>Calculations!$B$216/(Calculations!$B$216+Calculations!$B$218)</f>
        <v>0.80079681274900394</v>
      </c>
      <c r="Y211" s="81" t="str">
        <f t="shared" si="61"/>
        <v>-0.0293441673948785-0.0630507915576237i</v>
      </c>
      <c r="Z211" s="81">
        <f t="shared" si="62"/>
        <v>-23.154703814518491</v>
      </c>
      <c r="AA211" s="81">
        <f t="shared" si="63"/>
        <v>-114.95751432804728</v>
      </c>
      <c r="AB211" s="44"/>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c r="BD211" s="44"/>
      <c r="BE211" s="44"/>
      <c r="BF211" s="44"/>
      <c r="BG211" s="44"/>
      <c r="BH211" s="44"/>
      <c r="BI211" s="44"/>
      <c r="BJ211" s="44"/>
      <c r="BK211" s="44"/>
      <c r="BL211" s="44"/>
      <c r="BM211" s="44"/>
      <c r="BN211" s="44"/>
      <c r="BO211" s="44"/>
      <c r="BP211" s="44"/>
      <c r="BQ211" s="44"/>
      <c r="BR211" s="44"/>
      <c r="BS211" s="44"/>
      <c r="BT211" s="44"/>
      <c r="BU211" s="44"/>
      <c r="BV211" s="44"/>
      <c r="BW211" s="44"/>
      <c r="BX211" s="44"/>
      <c r="BY211" s="44"/>
      <c r="BZ211" s="44"/>
      <c r="CA211" s="44"/>
      <c r="CB211" s="44"/>
      <c r="CC211" s="44"/>
      <c r="CD211" s="44"/>
      <c r="CE211" s="44"/>
      <c r="CF211" s="44"/>
      <c r="CG211" s="44"/>
      <c r="CH211" s="44"/>
      <c r="CI211" s="44"/>
      <c r="CJ211" s="44"/>
      <c r="CK211" s="44"/>
      <c r="CL211" s="44"/>
      <c r="CM211" s="44"/>
      <c r="CN211" s="44"/>
      <c r="CO211" s="44"/>
      <c r="CP211" s="44"/>
    </row>
    <row r="212" spans="1:94">
      <c r="B212" s="1">
        <v>59948.425031894149</v>
      </c>
      <c r="C212" s="1">
        <f t="shared" si="64"/>
        <v>376667.06334895425</v>
      </c>
      <c r="D212" s="80" t="str">
        <f>IMDIV(COMPLEX((POWER(V48_Nom,2)/(V12_Min*Calculations!$B$28*np)),((Zo_Boost_Cout*Zo_Boost_Resr*POWER(V48_Nom,2))/(V12_Min*Calculations!$B$28*np))*C212),COMPLEX(1,((Zo_Boost_Cout*Zo_Boost_Resr)+((Zo_Boost_Cout*POWER(V48_Nom,2))/(V12_Min*Calculations!$B$28*np)))*C212))</f>
        <v>0.0099749086584664-0.00439724000193783i</v>
      </c>
      <c r="E212" s="1">
        <f t="shared" si="65"/>
        <v>-39.250573750039436</v>
      </c>
      <c r="F212" s="1">
        <f t="shared" si="66"/>
        <v>-23.789329267846693</v>
      </c>
      <c r="G212" s="1" t="str">
        <f>IMDIV(IMSUM(COMPLEX(V48_Nom,0),IMPRODUCT(COMPLEX(np*(Calculations!$B$28*(V12_Min/V48_Nom)),0),D212)),IMSUM(IMPRODUCT(COMPLEX(((V12_Min/V48_Nom)^2),0),D212),COMPLEX(Rcs/np,(Lm*C212)/np)))</f>
        <v>-0.0054575624157069-54.4129541102869i</v>
      </c>
      <c r="H212" s="1">
        <f t="shared" si="50"/>
        <v>34.714046136507008</v>
      </c>
      <c r="I212" s="1">
        <f t="shared" si="51"/>
        <v>-90.005746706770722</v>
      </c>
      <c r="J212" s="82" t="str">
        <f>IMPRODUCT(COMPLEX(-1,0),IMDIV(IMSUM(IMSUB(IMPRODUCT(COMPLEX((1-(V12_Min/V48_Nom))*V48_Nom,0),D212),IMPRODUCT(COMPLEX(V48_Nom,0),D212)),IMPRODUCT(COMPLEX(0,Calculations!$B$28*Lm*C212),D212)),IMSUM(IMPRODUCT(COMPLEX(((V12_Min/V48_Nom)^2),0),D212),COMPLEX(Rcs/np,(Lm*C212)/np))))</f>
        <v>-0.658473481260705+0.127810975708467i</v>
      </c>
      <c r="K212" s="81">
        <f t="shared" si="52"/>
        <v>-3.4686183315332202</v>
      </c>
      <c r="L212" s="81">
        <f t="shared" si="53"/>
        <v>169.01536986420302</v>
      </c>
      <c r="M212" s="1">
        <f t="shared" si="67"/>
        <v>0.66666666666666663</v>
      </c>
      <c r="N212" s="81">
        <f t="shared" si="68"/>
        <v>0.02</v>
      </c>
      <c r="O212" s="81" t="str">
        <f t="shared" si="69"/>
        <v>0.124305608449217-0.171187161246495i</v>
      </c>
      <c r="P212" s="81">
        <f t="shared" si="54"/>
        <v>-13.491397254359029</v>
      </c>
      <c r="Q212" s="81">
        <f t="shared" si="55"/>
        <v>-54.015149818818713</v>
      </c>
      <c r="R212" s="81" t="str">
        <f t="shared" si="56"/>
        <v>-0.0551469885407632+0.0922216909035742i</v>
      </c>
      <c r="S212" s="81">
        <f t="shared" si="57"/>
        <v>-19.375672951562461</v>
      </c>
      <c r="T212" s="81">
        <f t="shared" si="58"/>
        <v>120.87869941936681</v>
      </c>
      <c r="U212" s="81" t="str">
        <f>IMPRODUCT(COMPLEX(-1,0),IMDIV(COMPLEX(1,C212*Calculations!$B$248*Calculations!$B$250),IMPRODUCT(COMPLEX(0,C212*Calculations!$B$237),COMPLEX((Calculations!$B$250+Calculations!$B$252),C212*Calculations!$B$248*Calculations!$B$250*Calculations!$B$252))))</f>
        <v>-0.167247607269616+0.472654933670622i</v>
      </c>
      <c r="V212" s="81">
        <f t="shared" si="59"/>
        <v>-5.9967886927748628</v>
      </c>
      <c r="W212" s="81">
        <f t="shared" si="60"/>
        <v>109.48618094932642</v>
      </c>
      <c r="X212" s="81">
        <f>Calculations!$B$216/(Calculations!$B$216+Calculations!$B$218)</f>
        <v>0.80079681274900394</v>
      </c>
      <c r="Y212" s="81" t="str">
        <f t="shared" si="61"/>
        <v>-0.0275200513880727-0.0332245419279794i</v>
      </c>
      <c r="Z212" s="81">
        <f t="shared" si="62"/>
        <v>-27.302014925548299</v>
      </c>
      <c r="AA212" s="81">
        <f t="shared" si="63"/>
        <v>-129.63511963130682</v>
      </c>
      <c r="AB212" s="44"/>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c r="BD212" s="44"/>
      <c r="BE212" s="44"/>
      <c r="BF212" s="44"/>
      <c r="BG212" s="44"/>
      <c r="BH212" s="44"/>
      <c r="BI212" s="44"/>
      <c r="BJ212" s="44"/>
      <c r="BK212" s="44"/>
      <c r="BL212" s="44"/>
      <c r="BM212" s="44"/>
      <c r="BN212" s="44"/>
      <c r="BO212" s="44"/>
      <c r="BP212" s="44"/>
      <c r="BQ212" s="44"/>
      <c r="BR212" s="44"/>
      <c r="BS212" s="44"/>
      <c r="BT212" s="44"/>
      <c r="BU212" s="44"/>
      <c r="BV212" s="44"/>
      <c r="BW212" s="44"/>
      <c r="BX212" s="44"/>
      <c r="BY212" s="44"/>
      <c r="BZ212" s="44"/>
      <c r="CA212" s="44"/>
      <c r="CB212" s="44"/>
      <c r="CC212" s="44"/>
      <c r="CD212" s="44"/>
      <c r="CE212" s="44"/>
      <c r="CF212" s="44"/>
      <c r="CG212" s="44"/>
      <c r="CH212" s="44"/>
      <c r="CI212" s="44"/>
      <c r="CJ212" s="44"/>
      <c r="CK212" s="44"/>
      <c r="CL212" s="44"/>
      <c r="CM212" s="44"/>
      <c r="CN212" s="44"/>
      <c r="CO212" s="44"/>
      <c r="CP212" s="44"/>
    </row>
    <row r="213" spans="1:94">
      <c r="B213" s="1">
        <v>77426.368268112885</v>
      </c>
      <c r="C213" s="1">
        <f t="shared" si="64"/>
        <v>486484.21949048265</v>
      </c>
      <c r="D213" s="80" t="str">
        <f>IMDIV(COMPLEX((POWER(V48_Nom,2)/(V12_Min*Calculations!$B$28*np)),((Zo_Boost_Cout*Zo_Boost_Resr*POWER(V48_Nom,2))/(V12_Min*Calculations!$B$28*np))*C213),COMPLEX(1,((Zo_Boost_Cout*Zo_Boost_Resr)+((Zo_Boost_Cout*POWER(V48_Nom,2))/(V12_Min*Calculations!$B$28*np)))*C213))</f>
        <v>0.0099724810125382-0.00340462582849075i</v>
      </c>
      <c r="E213" s="1">
        <f t="shared" si="65"/>
        <v>-39.545132934127103</v>
      </c>
      <c r="F213" s="1">
        <f t="shared" si="66"/>
        <v>-18.850011801127152</v>
      </c>
      <c r="G213" s="1" t="str">
        <f>IMDIV(IMSUM(COMPLEX(V48_Nom,0),IMPRODUCT(COMPLEX(np*(Calculations!$B$28*(V12_Min/V48_Nom)),0),D213)),IMSUM(IMPRODUCT(COMPLEX(((V12_Min/V48_Nom)^2),0),D213),COMPLEX(Rcs/np,(Lm*C213)/np)))</f>
        <v>-0.00328212505241065-42.1247003042147i</v>
      </c>
      <c r="H213" s="1">
        <f t="shared" si="50"/>
        <v>32.490736508491921</v>
      </c>
      <c r="I213" s="1">
        <f t="shared" si="51"/>
        <v>-90.004464172127001</v>
      </c>
      <c r="J213" s="82" t="str">
        <f>IMPRODUCT(COMPLEX(-1,0),IMDIV(IMSUM(IMSUB(IMPRODUCT(COMPLEX((1-(V12_Min/V48_Nom))*V48_Nom,0),D213),IMPRODUCT(COMPLEX(V48_Nom,0),D213)),IMPRODUCT(COMPLEX(0,Calculations!$B$28*Lm*C213),D213)),IMSUM(IMPRODUCT(COMPLEX(((V12_Min/V48_Nom)^2),0),D213),COMPLEX(Rcs/np,(Lm*C213)/np))))</f>
        <v>-0.634300855142798+0.0989965731092652i</v>
      </c>
      <c r="K213" s="81">
        <f t="shared" si="52"/>
        <v>-3.8495745000598407</v>
      </c>
      <c r="L213" s="81">
        <f t="shared" si="53"/>
        <v>171.12929935340568</v>
      </c>
      <c r="M213" s="1">
        <f t="shared" si="67"/>
        <v>0.66666666666666663</v>
      </c>
      <c r="N213" s="81">
        <f t="shared" si="68"/>
        <v>0.02</v>
      </c>
      <c r="O213" s="81" t="str">
        <f t="shared" si="69"/>
        <v>0.0867601862395568-0.153982074352474i</v>
      </c>
      <c r="P213" s="81">
        <f t="shared" si="54"/>
        <v>-15.053194329429356</v>
      </c>
      <c r="Q213" s="81">
        <f t="shared" si="55"/>
        <v>-60.601201329645946</v>
      </c>
      <c r="R213" s="81" t="str">
        <f t="shared" si="56"/>
        <v>-0.0330789406390452+0.0757826616126367i</v>
      </c>
      <c r="S213" s="81">
        <f t="shared" si="57"/>
        <v>-21.651199302084478</v>
      </c>
      <c r="T213" s="81">
        <f t="shared" si="58"/>
        <v>113.58114779803883</v>
      </c>
      <c r="U213" s="81" t="str">
        <f>IMPRODUCT(COMPLEX(-1,0),IMDIV(COMPLEX(1,C213*Calculations!$B$248*Calculations!$B$250),IMPRODUCT(COMPLEX(0,C213*Calculations!$B$237),COMPLEX((Calculations!$B$250+Calculations!$B$252),C213*Calculations!$B$248*Calculations!$B$250*Calculations!$B$252))))</f>
        <v>-0.104968909688428+0.383080329907897i</v>
      </c>
      <c r="V213" s="81">
        <f t="shared" si="59"/>
        <v>-8.0197829645187309</v>
      </c>
      <c r="W213" s="81">
        <f t="shared" si="60"/>
        <v>105.3236518058165</v>
      </c>
      <c r="X213" s="81">
        <f>Calculations!$B$216/(Calculations!$B$216+Calculations!$B$218)</f>
        <v>0.80079681274900394</v>
      </c>
      <c r="Y213" s="81" t="str">
        <f t="shared" si="61"/>
        <v>-0.0204672347511835-0.0165178075139869i</v>
      </c>
      <c r="Z213" s="81">
        <f t="shared" si="62"/>
        <v>-31.6005355478142</v>
      </c>
      <c r="AA213" s="81">
        <f t="shared" si="63"/>
        <v>-141.09520039614475</v>
      </c>
      <c r="AB213" s="44"/>
      <c r="AC213" s="44"/>
      <c r="AD213" s="44"/>
      <c r="AE213" s="44"/>
      <c r="AF213" s="44"/>
      <c r="AG213" s="44"/>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c r="BD213" s="44"/>
      <c r="BE213" s="44"/>
      <c r="BF213" s="44"/>
      <c r="BG213" s="44"/>
      <c r="BH213" s="44"/>
      <c r="BI213" s="44"/>
      <c r="BJ213" s="44"/>
      <c r="BK213" s="44"/>
      <c r="BL213" s="44"/>
      <c r="BM213" s="44"/>
      <c r="BN213" s="44"/>
      <c r="BO213" s="44"/>
      <c r="BP213" s="44"/>
      <c r="BQ213" s="44"/>
      <c r="BR213" s="44"/>
      <c r="BS213" s="44"/>
      <c r="BT213" s="44"/>
      <c r="BU213" s="44"/>
      <c r="BV213" s="44"/>
      <c r="BW213" s="44"/>
      <c r="BX213" s="44"/>
      <c r="BY213" s="44"/>
      <c r="BZ213" s="44"/>
      <c r="CA213" s="44"/>
      <c r="CB213" s="44"/>
      <c r="CC213" s="44"/>
      <c r="CD213" s="44"/>
      <c r="CE213" s="44"/>
      <c r="CF213" s="44"/>
      <c r="CG213" s="44"/>
      <c r="CH213" s="44"/>
      <c r="CI213" s="44"/>
      <c r="CJ213" s="44"/>
      <c r="CK213" s="44"/>
      <c r="CL213" s="44"/>
      <c r="CM213" s="44"/>
      <c r="CN213" s="44"/>
      <c r="CO213" s="44"/>
      <c r="CP213" s="44"/>
    </row>
    <row r="214" spans="1:94">
      <c r="B214" s="1">
        <v>100000</v>
      </c>
      <c r="C214" s="1">
        <f t="shared" si="64"/>
        <v>628318.53071795858</v>
      </c>
      <c r="D214" s="80" t="str">
        <f>IMDIV(COMPLEX((POWER(V48_Nom,2)/(V12_Min*Calculations!$B$28*np)),((Zo_Boost_Cout*Zo_Boost_Resr*POWER(V48_Nom,2))/(V12_Min*Calculations!$B$28*np))*C214),COMPLEX(1,((Zo_Boost_Cout*Zo_Boost_Resr)+((Zo_Boost_Cout*POWER(V48_Nom,2))/(V12_Min*Calculations!$B$28*np)))*C214))</f>
        <v>0.0099710256752674-0.00263607933473598i</v>
      </c>
      <c r="E214" s="1">
        <f t="shared" si="65"/>
        <v>-39.731797495085431</v>
      </c>
      <c r="F214" s="1">
        <f t="shared" si="66"/>
        <v>-14.808704944192284</v>
      </c>
      <c r="G214" s="1" t="str">
        <f>IMDIV(IMSUM(COMPLEX(V48_Nom,0),IMPRODUCT(COMPLEX(np*(Calculations!$B$28*(V12_Min/V48_Nom)),0),D214)),IMSUM(IMPRODUCT(COMPLEX(((V12_Min/V48_Nom)^2),0),D214),COMPLEX(Rcs/np,(Lm*C214)/np)))</f>
        <v>-0.00197131917506828-32.6131781266751i</v>
      </c>
      <c r="H214" s="1">
        <f t="shared" si="50"/>
        <v>30.267862465843773</v>
      </c>
      <c r="I214" s="1">
        <f t="shared" si="51"/>
        <v>-90.003463270835738</v>
      </c>
      <c r="J214" s="82" t="str">
        <f>IMPRODUCT(COMPLEX(-1,0),IMDIV(IMSUM(IMSUB(IMPRODUCT(COMPLEX((1-(V12_Min/V48_Nom))*V48_Nom,0),D214),IMPRODUCT(COMPLEX(V48_Nom,0),D214)),IMPRODUCT(COMPLEX(0,Calculations!$B$28*Lm*C214),D214)),IMSUM(IMPRODUCT(COMPLEX(((V12_Min/V48_Nom)^2),0),D214),COMPLEX(Rcs/np,(Lm*C214)/np))))</f>
        <v>-0.619812596508798+0.0766666990356469i</v>
      </c>
      <c r="K214" s="81">
        <f t="shared" si="52"/>
        <v>-4.0888479779406142</v>
      </c>
      <c r="L214" s="81">
        <f t="shared" si="53"/>
        <v>172.94870898291924</v>
      </c>
      <c r="M214" s="1">
        <f t="shared" si="67"/>
        <v>0.66666666666666663</v>
      </c>
      <c r="N214" s="81">
        <f t="shared" si="68"/>
        <v>0.02</v>
      </c>
      <c r="O214" s="81" t="str">
        <f t="shared" si="69"/>
        <v>0.0576926163394001-0.13207341526969i</v>
      </c>
      <c r="P214" s="81">
        <f t="shared" si="54"/>
        <v>-16.825253449149933</v>
      </c>
      <c r="Q214" s="81">
        <f t="shared" si="55"/>
        <v>-66.403220363709025</v>
      </c>
      <c r="R214" s="81" t="str">
        <f t="shared" si="56"/>
        <v>-0.0197399926216502+0.0605022291450532i</v>
      </c>
      <c r="S214" s="81">
        <f t="shared" si="57"/>
        <v>-23.925249203257714</v>
      </c>
      <c r="T214" s="81">
        <f t="shared" si="58"/>
        <v>108.06989140954046</v>
      </c>
      <c r="U214" s="81" t="str">
        <f>IMPRODUCT(COMPLEX(-1,0),IMDIV(COMPLEX(1,C214*Calculations!$B$248*Calculations!$B$250),IMPRODUCT(COMPLEX(0,C214*Calculations!$B$237),COMPLEX((Calculations!$B$250+Calculations!$B$252),C214*Calculations!$B$248*Calculations!$B$250*Calculations!$B$252))))</f>
        <v>-0.0647493538882854+0.305165905013018i</v>
      </c>
      <c r="V214" s="81">
        <f t="shared" si="59"/>
        <v>-10.118036635465975</v>
      </c>
      <c r="W214" s="81">
        <f t="shared" si="60"/>
        <v>101.97922131117082</v>
      </c>
      <c r="X214" s="81">
        <f>Calculations!$B$216/(Calculations!$B$216+Calculations!$B$218)</f>
        <v>0.80079681274900394</v>
      </c>
      <c r="Y214" s="81" t="str">
        <f t="shared" si="61"/>
        <v>-0.0137617458749526-0.00796108384388507i</v>
      </c>
      <c r="Z214" s="81">
        <f t="shared" si="62"/>
        <v>-35.972839119934669</v>
      </c>
      <c r="AA214" s="81">
        <f t="shared" si="63"/>
        <v>-149.95088727928874</v>
      </c>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44"/>
      <c r="BH214" s="44"/>
      <c r="BI214" s="44"/>
      <c r="BJ214" s="44"/>
      <c r="BK214" s="44"/>
      <c r="BL214" s="44"/>
      <c r="BM214" s="44"/>
      <c r="BN214" s="44"/>
      <c r="BO214" s="44"/>
      <c r="BP214" s="44"/>
      <c r="BQ214" s="44"/>
      <c r="BR214" s="44"/>
      <c r="BS214" s="44"/>
      <c r="BT214" s="44"/>
      <c r="BU214" s="44"/>
      <c r="BV214" s="44"/>
      <c r="BW214" s="44"/>
      <c r="BX214" s="44"/>
      <c r="BY214" s="44"/>
      <c r="BZ214" s="44"/>
      <c r="CA214" s="44"/>
      <c r="CB214" s="44"/>
      <c r="CC214" s="44"/>
      <c r="CD214" s="44"/>
      <c r="CE214" s="44"/>
      <c r="CF214" s="44"/>
      <c r="CG214" s="44"/>
      <c r="CH214" s="44"/>
      <c r="CI214" s="44"/>
      <c r="CJ214" s="44"/>
      <c r="CK214" s="44"/>
      <c r="CL214" s="44"/>
      <c r="CM214" s="44"/>
      <c r="CN214" s="44"/>
      <c r="CO214" s="44"/>
      <c r="CP214" s="44"/>
    </row>
    <row r="215" spans="1:94">
      <c r="B215" s="1">
        <v>129154.96650148838</v>
      </c>
      <c r="C215" s="1">
        <f t="shared" si="64"/>
        <v>811504.58787142346</v>
      </c>
      <c r="D215" s="80" t="str">
        <f>IMDIV(COMPLEX((POWER(V48_Nom,2)/(V12_Min*Calculations!$B$28*np)),((Zo_Boost_Cout*Zo_Boost_Resr*POWER(V48_Nom,2))/(V12_Min*Calculations!$B$28*np))*C215),COMPLEX(1,((Zo_Boost_Cout*Zo_Boost_Resr)+((Zo_Boost_Cout*POWER(V48_Nom,2))/(V12_Min*Calculations!$B$28*np)))*C215))</f>
        <v>0.00997015322285804-0.00204102105175828i</v>
      </c>
      <c r="E215" s="1">
        <f t="shared" si="65"/>
        <v>-39.847671885505711</v>
      </c>
      <c r="F215" s="1">
        <f t="shared" si="66"/>
        <v>-11.569350559097945</v>
      </c>
      <c r="G215" s="1" t="str">
        <f>IMDIV(IMSUM(COMPLEX(V48_Nom,0),IMPRODUCT(COMPLEX(np*(Calculations!$B$28*(V12_Min/V48_Nom)),0),D215)),IMSUM(IMPRODUCT(COMPLEX(((V12_Min/V48_Nom)^2),0),D215),COMPLEX(Rcs/np,(Lm*C215)/np)))</f>
        <v>-0.00118311744469388-25.250063522024i</v>
      </c>
      <c r="H215" s="1">
        <f t="shared" si="50"/>
        <v>28.045249509899612</v>
      </c>
      <c r="I215" s="1">
        <f t="shared" si="51"/>
        <v>-90.002684652105543</v>
      </c>
      <c r="J215" s="82" t="str">
        <f>IMPRODUCT(COMPLEX(-1,0),IMDIV(IMSUM(IMSUB(IMPRODUCT(COMPLEX((1-(V12_Min/V48_Nom))*V48_Nom,0),D215),IMPRODUCT(COMPLEX(V48_Nom,0),D215)),IMPRODUCT(COMPLEX(0,Calculations!$B$28*Lm*C215),D215)),IMSUM(IMPRODUCT(COMPLEX(((V12_Min/V48_Nom)^2),0),D215),COMPLEX(Rcs/np,(Lm*C215)/np))))</f>
        <v>-0.611128137643576+0.0593682442204274i</v>
      </c>
      <c r="K215" s="81">
        <f t="shared" si="52"/>
        <v>-4.2365612808096165</v>
      </c>
      <c r="L215" s="81">
        <f t="shared" si="53"/>
        <v>174.45139338217007</v>
      </c>
      <c r="M215" s="1">
        <f t="shared" si="67"/>
        <v>0.66666666666666663</v>
      </c>
      <c r="N215" s="81">
        <f t="shared" si="68"/>
        <v>0.02</v>
      </c>
      <c r="O215" s="81" t="str">
        <f t="shared" si="69"/>
        <v>0.0370092642950481-0.10933955411117i</v>
      </c>
      <c r="P215" s="81">
        <f t="shared" si="54"/>
        <v>-18.753385271871132</v>
      </c>
      <c r="Q215" s="81">
        <f t="shared" si="55"/>
        <v>-71.300062501344954</v>
      </c>
      <c r="R215" s="81" t="str">
        <f t="shared" si="56"/>
        <v>-0.0117775155035848+0.047617938723288i</v>
      </c>
      <c r="S215" s="81">
        <f t="shared" si="57"/>
        <v>-26.18672255610425</v>
      </c>
      <c r="T215" s="81">
        <f t="shared" si="58"/>
        <v>103.89236591171083</v>
      </c>
      <c r="U215" s="81" t="str">
        <f>IMPRODUCT(COMPLEX(-1,0),IMDIV(COMPLEX(1,C215*Calculations!$B$248*Calculations!$B$250),IMPRODUCT(COMPLEX(0,C215*Calculations!$B$237),COMPLEX((Calculations!$B$250+Calculations!$B$252),C215*Calculations!$B$248*Calculations!$B$250*Calculations!$B$252))))</f>
        <v>-0.0395019282544349+0.240439697294492i</v>
      </c>
      <c r="V215" s="81">
        <f t="shared" si="59"/>
        <v>-12.264208786972064</v>
      </c>
      <c r="W215" s="81">
        <f t="shared" si="60"/>
        <v>99.329799715127251</v>
      </c>
      <c r="X215" s="81">
        <f>Calculations!$B$216/(Calculations!$B$216+Calculations!$B$218)</f>
        <v>0.80079681274900394</v>
      </c>
      <c r="Y215" s="81" t="str">
        <f t="shared" si="61"/>
        <v>-0.00879595875775043-0.00377398133461568i</v>
      </c>
      <c r="Z215" s="81">
        <f t="shared" si="62"/>
        <v>-40.380484624287327</v>
      </c>
      <c r="AA215" s="81">
        <f t="shared" si="63"/>
        <v>-156.77783437316191</v>
      </c>
      <c r="AB215" s="44"/>
      <c r="AC215" s="44"/>
      <c r="AD215" s="44"/>
      <c r="AE215" s="44"/>
      <c r="AF215" s="44"/>
      <c r="AJ215" t="s">
        <v>560</v>
      </c>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44"/>
      <c r="BJ215" s="44"/>
      <c r="BK215" s="44"/>
      <c r="BL215" s="44"/>
      <c r="BM215" s="44"/>
      <c r="BN215" s="44"/>
      <c r="BO215" s="44"/>
      <c r="BP215" s="44"/>
      <c r="BQ215" s="44"/>
      <c r="BR215" s="44"/>
      <c r="BS215" s="44"/>
      <c r="BT215" s="44"/>
      <c r="BU215" s="44"/>
      <c r="BV215" s="44"/>
      <c r="BW215" s="44"/>
      <c r="BX215" s="44"/>
      <c r="BY215" s="44"/>
      <c r="BZ215" s="44"/>
      <c r="CA215" s="44"/>
      <c r="CB215" s="44"/>
      <c r="CC215" s="44"/>
      <c r="CD215" s="44"/>
      <c r="CE215" s="44"/>
      <c r="CF215" s="44"/>
      <c r="CG215" s="44"/>
      <c r="CH215" s="44"/>
      <c r="CI215" s="44"/>
      <c r="CJ215" s="44"/>
      <c r="CK215" s="44"/>
      <c r="CL215" s="44"/>
      <c r="CM215" s="44"/>
      <c r="CN215" s="44"/>
      <c r="CO215" s="44"/>
      <c r="CP215" s="44"/>
    </row>
    <row r="216" spans="1:94">
      <c r="B216" s="1">
        <v>166810.05372000611</v>
      </c>
      <c r="C216" s="1">
        <f t="shared" si="64"/>
        <v>1048098.4786233798</v>
      </c>
      <c r="D216" s="80" t="str">
        <f>IMDIV(COMPLEX((POWER(V48_Nom,2)/(V12_Min*Calculations!$B$28*np)),((Zo_Boost_Cout*Zo_Boost_Resr*POWER(V48_Nom,2))/(V12_Min*Calculations!$B$28*np))*C216),COMPLEX(1,((Zo_Boost_Cout*Zo_Boost_Resr)+((Zo_Boost_Cout*POWER(V48_Nom,2))/(V12_Min*Calculations!$B$28*np)))*C216))</f>
        <v>0.00996963020115069-0.00158028873506045i</v>
      </c>
      <c r="E216" s="1">
        <f t="shared" si="65"/>
        <v>-39.918648623406035</v>
      </c>
      <c r="F216" s="1">
        <f t="shared" si="66"/>
        <v>-9.0070327195005664</v>
      </c>
      <c r="G216" s="1" t="str">
        <f>IMDIV(IMSUM(COMPLEX(V48_Nom,0),IMPRODUCT(COMPLEX(np*(Calculations!$B$28*(V12_Min/V48_Nom)),0),D216)),IMSUM(IMPRODUCT(COMPLEX(((V12_Min/V48_Nom)^2),0),D216),COMPLEX(Rcs/np,(Lm*C216)/np)))</f>
        <v>-0.000709742726678617-19.5496799795871i</v>
      </c>
      <c r="H216" s="1">
        <f t="shared" si="50"/>
        <v>25.822793056999188</v>
      </c>
      <c r="I216" s="1">
        <f t="shared" si="51"/>
        <v>-90.002080098641173</v>
      </c>
      <c r="J216" s="82" t="str">
        <f>IMPRODUCT(COMPLEX(-1,0),IMDIV(IMSUM(IMSUB(IMPRODUCT(COMPLEX((1-(V12_Min/V48_Nom))*V48_Nom,0),D216),IMPRODUCT(COMPLEX(V48_Nom,0),D216)),IMPRODUCT(COMPLEX(0,Calculations!$B$28*Lm*C216),D216)),IMSUM(IMPRODUCT(COMPLEX(((V12_Min/V48_Nom)^2),0),D216),COMPLEX(Rcs/np,(Lm*C216)/np))))</f>
        <v>-0.605922309286105+0.0459703896764663i</v>
      </c>
      <c r="K216" s="81">
        <f t="shared" si="52"/>
        <v>-4.3267347225205395</v>
      </c>
      <c r="L216" s="81">
        <f t="shared" si="53"/>
        <v>175.66136938883844</v>
      </c>
      <c r="M216" s="1">
        <f t="shared" si="67"/>
        <v>0.66666666666666663</v>
      </c>
      <c r="N216" s="81">
        <f t="shared" si="68"/>
        <v>0.02</v>
      </c>
      <c r="O216" s="81" t="str">
        <f t="shared" si="69"/>
        <v>0.0231593062577093-0.0883283033523262i</v>
      </c>
      <c r="P216" s="81">
        <f t="shared" si="54"/>
        <v>-20.789254712346441</v>
      </c>
      <c r="Q216" s="81">
        <f t="shared" si="55"/>
        <v>-75.308005490923932</v>
      </c>
      <c r="R216" s="81" t="str">
        <f t="shared" si="56"/>
        <v>-0.00703469688975282+0.0372039472578759i</v>
      </c>
      <c r="S216" s="81">
        <f t="shared" si="57"/>
        <v>-28.435657514455322</v>
      </c>
      <c r="T216" s="81">
        <f t="shared" si="58"/>
        <v>100.70734253040068</v>
      </c>
      <c r="U216" s="81" t="str">
        <f>IMPRODUCT(COMPLEX(-1,0),IMDIV(COMPLEX(1,C216*Calculations!$B$248*Calculations!$B$250),IMPRODUCT(COMPLEX(0,C216*Calculations!$B$237),COMPLEX((Calculations!$B$250+Calculations!$B$252),C216*Calculations!$B$248*Calculations!$B$250*Calculations!$B$252))))</f>
        <v>-0.02393425302738+0.188150160965762i</v>
      </c>
      <c r="V216" s="81">
        <f t="shared" si="59"/>
        <v>-14.44019339713144</v>
      </c>
      <c r="W216" s="81">
        <f t="shared" si="60"/>
        <v>97.249559289062205</v>
      </c>
      <c r="X216" s="81">
        <f>Calculations!$B$216/(Calculations!$B$216+Calculations!$B$218)</f>
        <v>0.80079681274900394</v>
      </c>
      <c r="Y216" s="81" t="str">
        <f t="shared" si="61"/>
        <v>-0.00547069023270901-0.00177298659732019i</v>
      </c>
      <c r="Z216" s="81">
        <f t="shared" si="62"/>
        <v>-44.805404192797752</v>
      </c>
      <c r="AA216" s="81">
        <f t="shared" si="63"/>
        <v>-162.0430981805371</v>
      </c>
      <c r="AB216" s="44"/>
      <c r="AC216" s="44"/>
      <c r="AD216" s="44"/>
      <c r="AE216" s="44"/>
      <c r="AF216" t="s">
        <v>561</v>
      </c>
      <c r="AG216">
        <f t="array" ref="AG216">INDEX($Z$169:$Z$223,(MATCH(TRUE,$Z$169:$Z$223&lt;0,)-1))</f>
        <v>1.2504544898275614</v>
      </c>
      <c r="AH216">
        <f t="array" ref="AH216">INDEX($Z$169:$Z$223,(MATCH(TRUE,$Z$169:$Z$223&lt;0,)-0))</f>
        <v>-0.84627802797779916</v>
      </c>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44"/>
      <c r="BJ216" s="44"/>
      <c r="BK216" s="44"/>
      <c r="BL216" s="44"/>
      <c r="BM216" s="44"/>
      <c r="BN216" s="44"/>
      <c r="BO216" s="44"/>
      <c r="BP216" s="44"/>
      <c r="BQ216" s="44"/>
      <c r="BR216" s="44"/>
      <c r="BS216" s="44"/>
      <c r="BT216" s="44"/>
      <c r="BU216" s="44"/>
      <c r="BV216" s="44"/>
      <c r="BW216" s="44"/>
      <c r="BX216" s="44"/>
      <c r="BY216" s="44"/>
      <c r="BZ216" s="44"/>
      <c r="CA216" s="44"/>
      <c r="CB216" s="44"/>
      <c r="CC216" s="44"/>
      <c r="CD216" s="44"/>
      <c r="CE216" s="44"/>
      <c r="CF216" s="44"/>
      <c r="CG216" s="44"/>
      <c r="CH216" s="44"/>
      <c r="CI216" s="44"/>
      <c r="CJ216" s="44"/>
      <c r="CK216" s="44"/>
      <c r="CL216" s="44"/>
      <c r="CM216" s="44"/>
      <c r="CN216" s="44"/>
      <c r="CO216" s="44"/>
      <c r="CP216" s="44"/>
    </row>
    <row r="217" spans="1:94">
      <c r="B217" s="1">
        <v>215443.46900318863</v>
      </c>
      <c r="C217" s="1">
        <f t="shared" si="64"/>
        <v>1353671.2389686354</v>
      </c>
      <c r="D217" s="80" t="str">
        <f>IMDIV(COMPLEX((POWER(V48_Nom,2)/(V12_Min*Calculations!$B$28*np)),((Zo_Boost_Cout*Zo_Boost_Resr*POWER(V48_Nom,2))/(V12_Min*Calculations!$B$28*np))*C217),COMPLEX(1,((Zo_Boost_Cout*Zo_Boost_Resr)+((Zo_Boost_Cout*POWER(V48_Nom,2))/(V12_Min*Calculations!$B$28*np)))*C217))</f>
        <v>0.00996931665779233-0.00122356029596932i</v>
      </c>
      <c r="E217" s="1">
        <f t="shared" si="65"/>
        <v>-39.9617609469624</v>
      </c>
      <c r="F217" s="1">
        <f t="shared" si="66"/>
        <v>-6.9970678639204076</v>
      </c>
      <c r="G217" s="1" t="str">
        <f>IMDIV(IMSUM(COMPLEX(V48_Nom,0),IMPRODUCT(COMPLEX(np*(Calculations!$B$28*(V12_Min/V48_Nom)),0),D217)),IMSUM(IMPRODUCT(COMPLEX(((V12_Min/V48_Nom)^2),0),D217),COMPLEX(Rcs/np,(Lm*C217)/np)))</f>
        <v>-0.000425652955719746-15.1363625262071i</v>
      </c>
      <c r="H217" s="1">
        <f t="shared" si="50"/>
        <v>23.600430420061596</v>
      </c>
      <c r="I217" s="1">
        <f t="shared" si="51"/>
        <v>-90.001611227126148</v>
      </c>
      <c r="J217" s="82" t="str">
        <f>IMPRODUCT(COMPLEX(-1,0),IMDIV(IMSUM(IMSUB(IMPRODUCT(COMPLEX((1-(V12_Min/V48_Nom))*V48_Nom,0),D217),IMPRODUCT(COMPLEX(V48_Nom,0),D217)),IMPRODUCT(COMPLEX(0,Calculations!$B$28*Lm*C217),D217)),IMSUM(IMPRODUCT(COMPLEX(((V12_Min/V48_Nom)^2),0),D217),COMPLEX(Rcs/np,(Lm*C217)/np))))</f>
        <v>-0.602801629400834+0.035594927045859i</v>
      </c>
      <c r="K217" s="81">
        <f t="shared" si="52"/>
        <v>-4.3813949959416201</v>
      </c>
      <c r="L217" s="81">
        <f t="shared" si="53"/>
        <v>176.62065667177123</v>
      </c>
      <c r="M217" s="1">
        <f t="shared" si="67"/>
        <v>0.66666666666666663</v>
      </c>
      <c r="N217" s="81">
        <f t="shared" si="68"/>
        <v>0.02</v>
      </c>
      <c r="O217" s="81" t="str">
        <f t="shared" si="69"/>
        <v>0.0142584404430118-0.070215884295274i</v>
      </c>
      <c r="P217" s="81">
        <f t="shared" si="54"/>
        <v>-22.895802129385729</v>
      </c>
      <c r="Q217" s="81">
        <f t="shared" si="55"/>
        <v>-78.521269538607356</v>
      </c>
      <c r="R217" s="81" t="str">
        <f t="shared" si="56"/>
        <v>-0.00420670783389447+0.0289540537796424i</v>
      </c>
      <c r="S217" s="81">
        <f t="shared" si="57"/>
        <v>-30.675091778926522</v>
      </c>
      <c r="T217" s="81">
        <f t="shared" si="58"/>
        <v>98.266608555081206</v>
      </c>
      <c r="U217" s="81" t="str">
        <f>IMPRODUCT(COMPLEX(-1,0),IMDIV(COMPLEX(1,C217*Calculations!$B$248*Calculations!$B$250),IMPRODUCT(COMPLEX(0,C217*Calculations!$B$237),COMPLEX((Calculations!$B$250+Calculations!$B$252),C217*Calculations!$B$248*Calculations!$B$250*Calculations!$B$252))))</f>
        <v>-0.0144408694211314+0.14661574534416i</v>
      </c>
      <c r="V217" s="81">
        <f t="shared" si="59"/>
        <v>-16.634459025626111</v>
      </c>
      <c r="W217" s="81">
        <f t="shared" si="60"/>
        <v>95.625185353722657</v>
      </c>
      <c r="X217" s="81">
        <f>Calculations!$B$216/(Calculations!$B$216+Calculations!$B$218)</f>
        <v>0.80079681274900394</v>
      </c>
      <c r="Y217" s="81" t="str">
        <f t="shared" si="61"/>
        <v>-0.00335083148637499-0.000828737666077744i</v>
      </c>
      <c r="Z217" s="81">
        <f t="shared" si="62"/>
        <v>-49.239104085763628</v>
      </c>
      <c r="AA217" s="81">
        <f t="shared" si="63"/>
        <v>-166.10820609119608</v>
      </c>
      <c r="AB217" s="44"/>
      <c r="AC217" s="44"/>
      <c r="AD217" s="44"/>
      <c r="AE217" s="44"/>
      <c r="AF217" t="s">
        <v>562</v>
      </c>
      <c r="AG217">
        <f t="array" ref="AG217">INDEX($B$169:$B$223,(MATCH(TRUE,$Z$169:$Z$223&lt;0,)-1))</f>
        <v>3593.813663804628</v>
      </c>
      <c r="AH217">
        <f t="array" ref="AH217">INDEX($B$169:$B$223,(MATCH(TRUE,$Z$169:$Z$223&lt;0,)-0))</f>
        <v>4641.5888336127782</v>
      </c>
      <c r="AJ217">
        <f>(AG216*AH217-AG217*AH216)/(AG216-AH216)/1000</f>
        <v>4.2186883935521351</v>
      </c>
      <c r="AK217" s="236" t="str">
        <f>"Crossover Frequency = "&amp;ROUND(AJ217,1)&amp;" kHz"</f>
        <v>Crossover Frequency = 4.2 kHz</v>
      </c>
      <c r="AL217" s="44"/>
      <c r="AM217" s="44"/>
      <c r="AN217" s="44"/>
      <c r="AO217" s="44"/>
      <c r="AP217" s="44"/>
      <c r="AQ217" s="44"/>
      <c r="AR217" s="44"/>
      <c r="AS217" s="44"/>
      <c r="AT217" s="44"/>
      <c r="AU217" s="44"/>
      <c r="AV217" s="44"/>
      <c r="AW217" s="44"/>
      <c r="AX217" s="44"/>
      <c r="AY217" s="44"/>
      <c r="AZ217" s="44"/>
      <c r="BA217" s="44"/>
      <c r="BB217" s="44"/>
      <c r="BC217" s="44"/>
      <c r="BD217" s="44"/>
      <c r="BE217" s="44"/>
      <c r="BF217" s="44"/>
      <c r="BG217" s="44"/>
      <c r="BH217" s="44"/>
      <c r="BI217" s="44"/>
      <c r="BJ217" s="44"/>
      <c r="BK217" s="44"/>
      <c r="BL217" s="44"/>
      <c r="BM217" s="44"/>
      <c r="BN217" s="44"/>
      <c r="BO217" s="44"/>
      <c r="BP217" s="44"/>
      <c r="BQ217" s="44"/>
      <c r="BR217" s="44"/>
      <c r="BS217" s="44"/>
      <c r="BT217" s="44"/>
      <c r="BU217" s="44"/>
      <c r="BV217" s="44"/>
      <c r="BW217" s="44"/>
      <c r="BX217" s="44"/>
      <c r="BY217" s="44"/>
      <c r="BZ217" s="44"/>
      <c r="CA217" s="44"/>
      <c r="CB217" s="44"/>
      <c r="CC217" s="44"/>
      <c r="CD217" s="44"/>
      <c r="CE217" s="44"/>
      <c r="CF217" s="44"/>
      <c r="CG217" s="44"/>
      <c r="CH217" s="44"/>
      <c r="CI217" s="44"/>
      <c r="CJ217" s="44"/>
      <c r="CK217" s="44"/>
      <c r="CL217" s="44"/>
      <c r="CM217" s="44"/>
      <c r="CN217" s="44"/>
      <c r="CO217" s="44"/>
      <c r="CP217" s="44"/>
    </row>
    <row r="218" spans="1:94">
      <c r="B218" s="1">
        <v>278255.94022071268</v>
      </c>
      <c r="C218" s="1">
        <f t="shared" si="64"/>
        <v>1748333.6352302232</v>
      </c>
      <c r="D218" s="80" t="str">
        <f>IMDIV(COMPLEX((POWER(V48_Nom,2)/(V12_Min*Calculations!$B$28*np)),((Zo_Boost_Cout*Zo_Boost_Resr*POWER(V48_Nom,2))/(V12_Min*Calculations!$B$28*np))*C218),COMPLEX(1,((Zo_Boost_Cout*Zo_Boost_Resr)+((Zo_Boost_Cout*POWER(V48_Nom,2))/(V12_Min*Calculations!$B$28*np)))*C218))</f>
        <v>0.00996912869345764-0.000947358356560259i</v>
      </c>
      <c r="E218" s="1">
        <f t="shared" si="65"/>
        <v>-39.98781279983973</v>
      </c>
      <c r="F218" s="1">
        <f t="shared" si="66"/>
        <v>-5.428470749644271</v>
      </c>
      <c r="G218" s="1" t="str">
        <f>IMDIV(IMSUM(COMPLEX(V48_Nom,0),IMPRODUCT(COMPLEX(np*(Calculations!$B$28*(V12_Min/V48_Nom)),0),D218)),IMSUM(IMPRODUCT(COMPLEX(((V12_Min/V48_Nom)^2),0),D218),COMPLEX(Rcs/np,(Lm*C218)/np)))</f>
        <v>-0.00025523454550385-11.7194222197594i</v>
      </c>
      <c r="H218" s="1">
        <f t="shared" si="50"/>
        <v>21.378124022466505</v>
      </c>
      <c r="I218" s="1">
        <f t="shared" si="51"/>
        <v>-90.001247831332194</v>
      </c>
      <c r="J218" s="82" t="str">
        <f>IMPRODUCT(COMPLEX(-1,0),IMDIV(IMSUM(IMSUB(IMPRODUCT(COMPLEX((1-(V12_Min/V48_Nom))*V48_Nom,0),D218),IMPRODUCT(COMPLEX(V48_Nom,0),D218)),IMPRODUCT(COMPLEX(0,Calculations!$B$28*Lm*C218),D218)),IMSUM(IMPRODUCT(COMPLEX(((V12_Min/V48_Nom)^2),0),D218),COMPLEX(Rcs/np,(Lm*C218)/np))))</f>
        <v>-0.600930878476085+0.0275606593874829i</v>
      </c>
      <c r="K218" s="81">
        <f t="shared" si="52"/>
        <v>-4.414384058480354</v>
      </c>
      <c r="L218" s="81">
        <f t="shared" si="53"/>
        <v>177.3740679205674</v>
      </c>
      <c r="M218" s="1">
        <f t="shared" si="67"/>
        <v>0.66666666666666663</v>
      </c>
      <c r="N218" s="81">
        <f t="shared" si="68"/>
        <v>0.02</v>
      </c>
      <c r="O218" s="81" t="str">
        <f t="shared" si="69"/>
        <v>0.0086883188101837-0.0552505981420766i</v>
      </c>
      <c r="P218" s="81">
        <f t="shared" si="54"/>
        <v>-25.047172227215555</v>
      </c>
      <c r="Q218" s="81">
        <f t="shared" si="55"/>
        <v>-81.063254904892617</v>
      </c>
      <c r="R218" s="81" t="str">
        <f t="shared" si="56"/>
        <v>-0.00251781667322277+0.0224848679479364i</v>
      </c>
      <c r="S218" s="81">
        <f t="shared" si="57"/>
        <v>-32.908075001165955</v>
      </c>
      <c r="T218" s="81">
        <f t="shared" si="58"/>
        <v>96.389265847740049</v>
      </c>
      <c r="U218" s="81" t="str">
        <f>IMPRODUCT(COMPLEX(-1,0),IMDIV(COMPLEX(1,C218*Calculations!$B$248*Calculations!$B$250),IMPRODUCT(COMPLEX(0,C218*Calculations!$B$237),COMPLEX((Calculations!$B$250+Calculations!$B$252),C218*Calculations!$B$248*Calculations!$B$250*Calculations!$B$252))))</f>
        <v>-0.00869071998389566+0.113959099980615i</v>
      </c>
      <c r="V218" s="81">
        <f t="shared" si="59"/>
        <v>-18.83983501911829</v>
      </c>
      <c r="W218" s="81">
        <f t="shared" si="60"/>
        <v>94.361034898975149</v>
      </c>
      <c r="X218" s="81">
        <f>Calculations!$B$216/(Calculations!$B$216+Calculations!$B$218)</f>
        <v>0.80079681274900394</v>
      </c>
      <c r="Y218" s="81" t="str">
        <f t="shared" si="61"/>
        <v>-0.00203440322169427-0.000386254583484521i</v>
      </c>
      <c r="Z218" s="81">
        <f t="shared" si="62"/>
        <v>-53.67746330149523</v>
      </c>
      <c r="AA218" s="81">
        <f t="shared" si="63"/>
        <v>-169.2496992532848</v>
      </c>
      <c r="AB218" s="44"/>
      <c r="AC218" s="44"/>
      <c r="AD218" s="44"/>
      <c r="AE218" s="44"/>
      <c r="AF218" t="s">
        <v>563</v>
      </c>
      <c r="AG218">
        <f t="array" ref="AG218">INDEX($AA$169:$AA$223,(MATCH(TRUE,$Z$169:$Z$223&lt;0,)-1))</f>
        <v>62.699131282056591</v>
      </c>
      <c r="AH218">
        <f t="array" ref="AH218">INDEX($AA$169:$AA$223,(MATCH(TRUE,$Z$169:$Z$223&lt;0,)-0))</f>
        <v>53.502880513812556</v>
      </c>
      <c r="AJ218">
        <f>(AG216*AH218-AG218*AH216)/(AG216-AH216)</f>
        <v>57.214648657268867</v>
      </c>
      <c r="AK218" t="str">
        <f>"Phase Margin = "&amp;ROUND(AJ218,0)&amp;"°"</f>
        <v>Phase Margin = 57°</v>
      </c>
      <c r="AL218" s="44"/>
      <c r="AM218" s="44"/>
      <c r="AN218" s="44"/>
      <c r="AO218" s="44"/>
      <c r="AP218" s="44"/>
      <c r="AQ218" s="44"/>
      <c r="AR218" s="44"/>
      <c r="AS218" s="44"/>
      <c r="AT218" s="44"/>
      <c r="AU218" s="44"/>
      <c r="AV218" s="44"/>
      <c r="AW218" s="44"/>
      <c r="AX218" s="44"/>
      <c r="AY218" s="44"/>
      <c r="AZ218" s="44"/>
      <c r="BA218" s="44"/>
      <c r="BB218" s="44"/>
      <c r="BC218" s="44"/>
      <c r="BD218" s="44"/>
      <c r="BE218" s="44"/>
      <c r="BF218" s="44"/>
      <c r="BG218" s="44"/>
      <c r="BH218" s="44"/>
      <c r="BI218" s="44"/>
      <c r="BJ218" s="44"/>
      <c r="BK218" s="44"/>
      <c r="BL218" s="44"/>
      <c r="BM218" s="44"/>
      <c r="BN218" s="44"/>
      <c r="BO218" s="44"/>
      <c r="BP218" s="44"/>
      <c r="BQ218" s="44"/>
      <c r="BR218" s="44"/>
      <c r="BS218" s="44"/>
      <c r="BT218" s="44"/>
      <c r="BU218" s="44"/>
      <c r="BV218" s="44"/>
      <c r="BW218" s="44"/>
      <c r="BX218" s="44"/>
      <c r="BY218" s="44"/>
      <c r="BZ218" s="44"/>
      <c r="CA218" s="44"/>
      <c r="CB218" s="44"/>
      <c r="CC218" s="44"/>
      <c r="CD218" s="44"/>
      <c r="CE218" s="44"/>
      <c r="CF218" s="44"/>
      <c r="CG218" s="44"/>
      <c r="CH218" s="44"/>
      <c r="CI218" s="44"/>
      <c r="CJ218" s="44"/>
      <c r="CK218" s="44"/>
      <c r="CL218" s="44"/>
      <c r="CM218" s="44"/>
      <c r="CN218" s="44"/>
      <c r="CO218" s="44"/>
      <c r="CP218" s="44"/>
    </row>
    <row r="219" spans="1:94">
      <c r="B219" s="1">
        <v>359381.36638046295</v>
      </c>
      <c r="C219" s="1">
        <f t="shared" si="64"/>
        <v>2258059.7209158484</v>
      </c>
      <c r="D219" s="80" t="str">
        <f>IMDIV(COMPLEX((POWER(V48_Nom,2)/(V12_Min*Calculations!$B$28*np)),((Zo_Boost_Cout*Zo_Boost_Resr*POWER(V48_Nom,2))/(V12_Min*Calculations!$B$28*np))*C219),COMPLEX(1,((Zo_Boost_Cout*Zo_Boost_Resr)+((Zo_Boost_Cout*POWER(V48_Nom,2))/(V12_Min*Calculations!$B$28*np)))*C219))</f>
        <v>0.00996901601178877-0.000733505195878739i</v>
      </c>
      <c r="E219" s="1">
        <f t="shared" si="65"/>
        <v>-40.003505731726193</v>
      </c>
      <c r="F219" s="1">
        <f t="shared" si="66"/>
        <v>-4.208154137241678</v>
      </c>
      <c r="G219" s="1" t="str">
        <f>IMDIV(IMSUM(COMPLEX(V48_Nom,0),IMPRODUCT(COMPLEX(np*(Calculations!$B$28*(V12_Min/V48_Nom)),0),D219)),IMSUM(IMPRODUCT(COMPLEX(((V12_Min/V48_Nom)^2),0),D219),COMPLEX(Rcs/np,(Lm*C219)/np)))</f>
        <v>-0.00015303147980633-9.07387029202929i</v>
      </c>
      <c r="H219" s="1">
        <f t="shared" si="50"/>
        <v>19.15585133880689</v>
      </c>
      <c r="I219" s="1">
        <f t="shared" si="51"/>
        <v>-90.000966297472033</v>
      </c>
      <c r="J219" s="82" t="str">
        <f>IMPRODUCT(COMPLEX(-1,0),IMDIV(IMSUM(IMSUB(IMPRODUCT(COMPLEX((1-(V12_Min/V48_Nom))*V48_Nom,0),D219),IMPRODUCT(COMPLEX(V48_Nom,0),D219)),IMPRODUCT(COMPLEX(0,Calculations!$B$28*Lm*C219),D219)),IMSUM(IMPRODUCT(COMPLEX(((V12_Min/V48_Nom)^2),0),D219),COMPLEX(Rcs/np,(Lm*C219)/np))))</f>
        <v>-0.599809409836549+0.0213395889892222i</v>
      </c>
      <c r="K219" s="81">
        <f t="shared" si="52"/>
        <v>-4.4342409296131988</v>
      </c>
      <c r="L219" s="81">
        <f t="shared" si="53"/>
        <v>177.962431239555</v>
      </c>
      <c r="M219" s="1">
        <f t="shared" si="67"/>
        <v>0.66666666666666663</v>
      </c>
      <c r="N219" s="81">
        <f t="shared" si="68"/>
        <v>0.02</v>
      </c>
      <c r="O219" s="81" t="str">
        <f t="shared" si="69"/>
        <v>0.00526038510394716-0.0432002227408337i</v>
      </c>
      <c r="P219" s="81">
        <f t="shared" si="54"/>
        <v>-27.226358711106343</v>
      </c>
      <c r="Q219" s="81">
        <f t="shared" si="55"/>
        <v>-83.057412269042928</v>
      </c>
      <c r="R219" s="81" t="str">
        <f t="shared" si="56"/>
        <v>-0.00150788091380818+0.0174396265766216i</v>
      </c>
      <c r="S219" s="81">
        <f t="shared" si="57"/>
        <v>-35.136909989187664</v>
      </c>
      <c r="T219" s="81">
        <f t="shared" si="58"/>
        <v>94.941670077093562</v>
      </c>
      <c r="U219" s="81" t="str">
        <f>IMPRODUCT(COMPLEX(-1,0),IMDIV(COMPLEX(1,C219*Calculations!$B$248*Calculations!$B$250),IMPRODUCT(COMPLEX(0,C219*Calculations!$B$237),COMPLEX((Calculations!$B$250+Calculations!$B$252),C219*Calculations!$B$248*Calculations!$B$250*Calculations!$B$252))))</f>
        <v>-0.00522211691757612+0.0884398262594677i</v>
      </c>
      <c r="V219" s="81">
        <f t="shared" si="59"/>
        <v>-21.051926773452418</v>
      </c>
      <c r="W219" s="81">
        <f t="shared" si="60"/>
        <v>93.379227042657874</v>
      </c>
      <c r="X219" s="81">
        <f>Calculations!$B$216/(Calculations!$B$216+Calculations!$B$218)</f>
        <v>0.80079681274900394</v>
      </c>
      <c r="Y219" s="81" t="str">
        <f t="shared" si="61"/>
        <v>-0.00122880926701745-0.00017972162350139i</v>
      </c>
      <c r="Z219" s="81">
        <f t="shared" si="62"/>
        <v>-58.1183900438511</v>
      </c>
      <c r="AA219" s="81">
        <f t="shared" si="63"/>
        <v>-171.67910288024854</v>
      </c>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c r="BI219" s="44"/>
      <c r="BJ219" s="44"/>
      <c r="BK219" s="44"/>
      <c r="BL219" s="44"/>
      <c r="BM219" s="44"/>
      <c r="BN219" s="44"/>
      <c r="BO219" s="44"/>
      <c r="BP219" s="44"/>
      <c r="BQ219" s="44"/>
      <c r="BR219" s="44"/>
      <c r="BS219" s="44"/>
      <c r="BT219" s="44"/>
      <c r="BU219" s="44"/>
      <c r="BV219" s="44"/>
      <c r="BW219" s="44"/>
      <c r="BX219" s="44"/>
      <c r="BY219" s="44"/>
      <c r="BZ219" s="44"/>
      <c r="CA219" s="44"/>
      <c r="CB219" s="44"/>
      <c r="CC219" s="44"/>
      <c r="CD219" s="44"/>
      <c r="CE219" s="44"/>
      <c r="CF219" s="44"/>
      <c r="CG219" s="44"/>
      <c r="CH219" s="44"/>
      <c r="CI219" s="44"/>
      <c r="CJ219" s="44"/>
      <c r="CK219" s="44"/>
      <c r="CL219" s="44"/>
      <c r="CM219" s="44"/>
      <c r="CN219" s="44"/>
      <c r="CO219" s="44"/>
      <c r="CP219" s="44"/>
    </row>
    <row r="220" spans="1:94">
      <c r="B220" s="1">
        <v>464158.88336127804</v>
      </c>
      <c r="C220" s="1">
        <f t="shared" si="64"/>
        <v>2916396.2761324653</v>
      </c>
      <c r="D220" s="80" t="str">
        <f>IMDIV(COMPLEX((POWER(V48_Nom,2)/(V12_Min*Calculations!$B$28*np)),((Zo_Boost_Cout*Zo_Boost_Resr*POWER(V48_Nom,2))/(V12_Min*Calculations!$B$28*np))*C220),COMPLEX(1,((Zo_Boost_Cout*Zo_Boost_Resr)+((Zo_Boost_Cout*POWER(V48_Nom,2))/(V12_Min*Calculations!$B$28*np)))*C220))</f>
        <v>0.00996894846089913-0.000567926446253008i</v>
      </c>
      <c r="E220" s="1">
        <f t="shared" si="65"/>
        <v>-40.012940656368301</v>
      </c>
      <c r="F220" s="1">
        <f t="shared" si="66"/>
        <v>-3.2605900234021368</v>
      </c>
      <c r="G220" s="1" t="str">
        <f>IMDIV(IMSUM(COMPLEX(V48_Nom,0),IMPRODUCT(COMPLEX(np*(Calculations!$B$28*(V12_Min/V48_Nom)),0),D220)),IMSUM(IMPRODUCT(COMPLEX(((V12_Min/V48_Nom)^2),0),D220),COMPLEX(Rcs/np,(Lm*C220)/np)))</f>
        <v>-0.0000917480082154161-7.02554376068644i</v>
      </c>
      <c r="H220" s="1">
        <f t="shared" si="50"/>
        <v>16.933598865881709</v>
      </c>
      <c r="I220" s="1">
        <f t="shared" si="51"/>
        <v>-90.000748237265071</v>
      </c>
      <c r="J220" s="82" t="str">
        <f>IMPRODUCT(COMPLEX(-1,0),IMDIV(IMSUM(IMSUB(IMPRODUCT(COMPLEX((1-(V12_Min/V48_Nom))*V48_Nom,0),D220),IMPRODUCT(COMPLEX(V48_Nom,0),D220)),IMPRODUCT(COMPLEX(0,Calculations!$B$28*Lm*C220),D220)),IMSUM(IMPRODUCT(COMPLEX(((V12_Min/V48_Nom)^2),0),D220),COMPLEX(Rcs/np,(Lm*C220)/np))))</f>
        <v>-0.599137113186646+0.0165226411216042i</v>
      </c>
      <c r="K220" s="81">
        <f t="shared" si="52"/>
        <v>-4.4461739397664743</v>
      </c>
      <c r="L220" s="81">
        <f t="shared" si="53"/>
        <v>178.42033199996803</v>
      </c>
      <c r="M220" s="1">
        <f t="shared" si="67"/>
        <v>0.66666666666666663</v>
      </c>
      <c r="N220" s="81">
        <f t="shared" si="68"/>
        <v>0.02</v>
      </c>
      <c r="O220" s="81" t="str">
        <f t="shared" si="69"/>
        <v>0.00317245963176334-0.0336472320331001i</v>
      </c>
      <c r="P220" s="81">
        <f t="shared" si="54"/>
        <v>-29.42257569037892</v>
      </c>
      <c r="Q220" s="81">
        <f t="shared" si="55"/>
        <v>-84.613739052840629</v>
      </c>
      <c r="R220" s="81" t="str">
        <f t="shared" si="56"/>
        <v>-0.000903395156610827+0.0135168167633789i</v>
      </c>
      <c r="S220" s="81">
        <f t="shared" si="57"/>
        <v>-37.363155150716373</v>
      </c>
      <c r="T220" s="81">
        <f t="shared" si="58"/>
        <v>93.823671389143584</v>
      </c>
      <c r="U220" s="81" t="str">
        <f>IMPRODUCT(COMPLEX(-1,0),IMDIV(COMPLEX(1,C220*Calculations!$B$248*Calculations!$B$250),IMPRODUCT(COMPLEX(0,C220*Calculations!$B$237),COMPLEX((Calculations!$B$250+Calculations!$B$252),C220*Calculations!$B$248*Calculations!$B$250*Calculations!$B$252))))</f>
        <v>-0.00313496585363443+0.068571456197437i</v>
      </c>
      <c r="V220" s="81">
        <f t="shared" si="59"/>
        <v>-23.268064590829958</v>
      </c>
      <c r="W220" s="81">
        <f t="shared" si="60"/>
        <v>92.617639089450009</v>
      </c>
      <c r="X220" s="81">
        <f>Calculations!$B$216/(Calculations!$B$216+Calculations!$B$218)</f>
        <v>0.80079681274900394</v>
      </c>
      <c r="Y220" s="81" t="str">
        <f t="shared" si="61"/>
        <v>-0.000739964839943233-0.0000835406293351472i</v>
      </c>
      <c r="Z220" s="81">
        <f t="shared" si="62"/>
        <v>-62.560773022757317</v>
      </c>
      <c r="AA220" s="81">
        <f t="shared" si="63"/>
        <v>-173.55868952140642</v>
      </c>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c r="BE220" s="44"/>
      <c r="BF220" s="44"/>
      <c r="BG220" s="44"/>
      <c r="BH220" s="44"/>
      <c r="BI220" s="44"/>
      <c r="BJ220" s="44"/>
      <c r="BK220" s="44"/>
      <c r="BL220" s="44"/>
      <c r="BM220" s="44"/>
      <c r="BN220" s="44"/>
      <c r="BO220" s="44"/>
      <c r="BP220" s="44"/>
      <c r="BQ220" s="44"/>
      <c r="BR220" s="44"/>
      <c r="BS220" s="44"/>
      <c r="BT220" s="44"/>
      <c r="BU220" s="44"/>
      <c r="BV220" s="44"/>
      <c r="BW220" s="44"/>
      <c r="BX220" s="44"/>
      <c r="BY220" s="44"/>
      <c r="BZ220" s="44"/>
      <c r="CA220" s="44"/>
      <c r="CB220" s="44"/>
      <c r="CC220" s="44"/>
      <c r="CD220" s="44"/>
      <c r="CE220" s="44"/>
      <c r="CF220" s="44"/>
      <c r="CG220" s="44"/>
      <c r="CH220" s="44"/>
      <c r="CI220" s="44"/>
      <c r="CJ220" s="44"/>
      <c r="CK220" s="44"/>
      <c r="CL220" s="44"/>
      <c r="CM220" s="44"/>
      <c r="CN220" s="44"/>
      <c r="CO220" s="44"/>
      <c r="CP220" s="44"/>
    </row>
    <row r="221" spans="1:94">
      <c r="B221" s="1">
        <v>599484.25031894213</v>
      </c>
      <c r="C221" s="1">
        <f t="shared" si="64"/>
        <v>3766670.6334895464</v>
      </c>
      <c r="D221" s="80" t="str">
        <f>IMDIV(COMPLEX((POWER(V48_Nom,2)/(V12_Min*Calculations!$B$28*np)),((Zo_Boost_Cout*Zo_Boost_Resr*POWER(V48_Nom,2))/(V12_Min*Calculations!$B$28*np))*C221),COMPLEX(1,((Zo_Boost_Cout*Zo_Boost_Resr)+((Zo_Boost_Cout*POWER(V48_Nom,2))/(V12_Min*Calculations!$B$28*np)))*C221))</f>
        <v>0.00996890796520336-0.000439724827349925i</v>
      </c>
      <c r="E221" s="1">
        <f t="shared" si="65"/>
        <v>-40.018606587946202</v>
      </c>
      <c r="F221" s="1">
        <f t="shared" si="66"/>
        <v>-2.5256583769656036</v>
      </c>
      <c r="G221" s="1" t="str">
        <f>IMDIV(IMSUM(COMPLEX(V48_Nom,0),IMPRODUCT(COMPLEX(np*(Calculations!$B$28*(V12_Min/V48_Nom)),0),D221)),IMSUM(IMPRODUCT(COMPLEX(((V12_Min/V48_Nom)^2),0),D221),COMPLEX(Rcs/np,(Lm*C221)/np)))</f>
        <v>-0.0000550043775697901-5.43961202810576i</v>
      </c>
      <c r="H221" s="1">
        <f t="shared" si="50"/>
        <v>14.711358508887631</v>
      </c>
      <c r="I221" s="1">
        <f t="shared" si="51"/>
        <v>-90.000579364607816</v>
      </c>
      <c r="J221" s="82" t="str">
        <f>IMPRODUCT(COMPLEX(-1,0),IMDIV(IMSUM(IMSUB(IMPRODUCT(COMPLEX((1-(V12_Min/V48_Nom))*V48_Nom,0),D221),IMPRODUCT(COMPLEX(V48_Nom,0),D221)),IMPRODUCT(COMPLEX(0,Calculations!$B$28*Lm*C221),D221)),IMSUM(IMPRODUCT(COMPLEX(((V12_Min/V48_Nom)^2),0),D221),COMPLEX(Rcs/np,(Lm*C221)/np))))</f>
        <v>-0.59873408413889+0.0127929609656416i</v>
      </c>
      <c r="K221" s="81">
        <f t="shared" si="52"/>
        <v>-4.4533381069647957</v>
      </c>
      <c r="L221" s="81">
        <f t="shared" si="53"/>
        <v>178.77596553017958</v>
      </c>
      <c r="M221" s="1">
        <f t="shared" si="67"/>
        <v>0.66666666666666663</v>
      </c>
      <c r="N221" s="81">
        <f t="shared" si="68"/>
        <v>0.02</v>
      </c>
      <c r="O221" s="81" t="str">
        <f t="shared" si="69"/>
        <v>0.00190871248196204-0.0261450263802887i</v>
      </c>
      <c r="P221" s="81">
        <f t="shared" si="54"/>
        <v>-31.62913317853257</v>
      </c>
      <c r="Q221" s="81">
        <f t="shared" si="55"/>
        <v>-85.824540414577683</v>
      </c>
      <c r="R221" s="81" t="str">
        <f t="shared" si="56"/>
        <v>-0.000541368679101908+0.0104720069698853i</v>
      </c>
      <c r="S221" s="81">
        <f t="shared" si="57"/>
        <v>-39.587810277953025</v>
      </c>
      <c r="T221" s="81">
        <f t="shared" si="58"/>
        <v>92.959370848484653</v>
      </c>
      <c r="U221" s="81" t="str">
        <f>IMPRODUCT(COMPLEX(-1,0),IMDIV(COMPLEX(1,C221*Calculations!$B$248*Calculations!$B$250),IMPRODUCT(COMPLEX(0,C221*Calculations!$B$237),COMPLEX((Calculations!$B$250+Calculations!$B$252),C221*Calculations!$B$248*Calculations!$B$250*Calculations!$B$252))))</f>
        <v>-0.00188094352236153+0.0531369128420326i</v>
      </c>
      <c r="V221" s="81">
        <f t="shared" si="59"/>
        <v>-25.486635217134296</v>
      </c>
      <c r="W221" s="81">
        <f t="shared" si="60"/>
        <v>92.027312852505517</v>
      </c>
      <c r="X221" s="81">
        <f>Calculations!$B$216/(Calculations!$B$216+Calculations!$B$218)</f>
        <v>0.80079681274900394</v>
      </c>
      <c r="Y221" s="81" t="str">
        <f t="shared" si="61"/>
        <v>-0.000444788045353335-0.0000388097478589162i</v>
      </c>
      <c r="Z221" s="81">
        <f t="shared" si="62"/>
        <v>-67.003998776298317</v>
      </c>
      <c r="AA221" s="81">
        <f t="shared" si="63"/>
        <v>-175.0133162990098</v>
      </c>
      <c r="AB221" s="44"/>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c r="BD221" s="44"/>
      <c r="BE221" s="44"/>
      <c r="BF221" s="44"/>
      <c r="BG221" s="44"/>
      <c r="BH221" s="44"/>
      <c r="BI221" s="44"/>
      <c r="BJ221" s="44"/>
      <c r="BK221" s="44"/>
      <c r="BL221" s="44"/>
      <c r="BM221" s="44"/>
      <c r="BN221" s="44"/>
      <c r="BO221" s="44"/>
      <c r="BP221" s="44"/>
      <c r="BQ221" s="44"/>
      <c r="BR221" s="44"/>
      <c r="BS221" s="44"/>
      <c r="BT221" s="44"/>
      <c r="BU221" s="44"/>
      <c r="BV221" s="44"/>
      <c r="BW221" s="44"/>
      <c r="BX221" s="44"/>
      <c r="BY221" s="44"/>
      <c r="BZ221" s="44"/>
      <c r="CA221" s="44"/>
      <c r="CB221" s="44"/>
      <c r="CC221" s="44"/>
      <c r="CD221" s="44"/>
      <c r="CE221" s="44"/>
      <c r="CF221" s="44"/>
      <c r="CG221" s="44"/>
      <c r="CH221" s="44"/>
      <c r="CI221" s="44"/>
      <c r="CJ221" s="44"/>
      <c r="CK221" s="44"/>
      <c r="CL221" s="44"/>
      <c r="CM221" s="44"/>
      <c r="CN221" s="44"/>
      <c r="CO221" s="44"/>
      <c r="CP221" s="44"/>
    </row>
    <row r="222" spans="1:94">
      <c r="B222" s="1">
        <v>774263.68268112827</v>
      </c>
      <c r="C222" s="1">
        <f t="shared" si="64"/>
        <v>4864842.1949048229</v>
      </c>
      <c r="D222" s="80" t="str">
        <f>IMDIV(COMPLEX((POWER(V48_Nom,2)/(V12_Min*Calculations!$B$28*np)),((Zo_Boost_Cout*Zo_Boost_Resr*POWER(V48_Nom,2))/(V12_Min*Calculations!$B$28*np))*C222),COMPLEX(1,((Zo_Boost_Cout*Zo_Boost_Resr)+((Zo_Boost_Cout*POWER(V48_Nom,2))/(V12_Min*Calculations!$B$28*np)))*C222))</f>
        <v>0.00996888368867103-0.000340462966781241i</v>
      </c>
      <c r="E222" s="1">
        <f t="shared" si="65"/>
        <v>-40.022006772089817</v>
      </c>
      <c r="F222" s="1">
        <f t="shared" si="66"/>
        <v>-1.9560376714763459</v>
      </c>
      <c r="G222" s="1" t="str">
        <f>IMDIV(IMSUM(COMPLEX(V48_Nom,0),IMPRODUCT(COMPLEX(np*(Calculations!$B$28*(V12_Min/V48_Nom)),0),D222)),IMSUM(IMPRODUCT(COMPLEX(((V12_Min/V48_Nom)^2),0),D222),COMPLEX(Rcs/np,(Lm*C222)/np)))</f>
        <v>-0.0000329752972485644-4.21168876985786i</v>
      </c>
      <c r="H222" s="1">
        <f t="shared" si="50"/>
        <v>12.489125415172628</v>
      </c>
      <c r="I222" s="1">
        <f t="shared" si="51"/>
        <v>-90.000448595673546</v>
      </c>
      <c r="J222" s="82" t="str">
        <f>IMPRODUCT(COMPLEX(-1,0),IMDIV(IMSUM(IMSUB(IMPRODUCT(COMPLEX((1-(V12_Min/V48_Nom))*V48_Nom,0),D222),IMPRODUCT(COMPLEX(V48_Nom,0),D222)),IMPRODUCT(COMPLEX(0,Calculations!$B$28*Lm*C222),D222)),IMSUM(IMPRODUCT(COMPLEX(((V12_Min/V48_Nom)^2),0),D222),COMPLEX(Rcs/np,(Lm*C222)/np))))</f>
        <v>-0.598492475364912+0.0099051622035676i</v>
      </c>
      <c r="K222" s="81">
        <f t="shared" si="52"/>
        <v>-4.4576367017017091</v>
      </c>
      <c r="L222" s="81">
        <f t="shared" si="53"/>
        <v>179.05183071642992</v>
      </c>
      <c r="M222" s="1">
        <f t="shared" si="67"/>
        <v>0.66666666666666663</v>
      </c>
      <c r="N222" s="81">
        <f t="shared" si="68"/>
        <v>0.02</v>
      </c>
      <c r="O222" s="81" t="str">
        <f t="shared" si="69"/>
        <v>0.00114672737092328-0.0202866530208629i</v>
      </c>
      <c r="P222" s="81">
        <f t="shared" si="54"/>
        <v>-33.841937473315504</v>
      </c>
      <c r="Q222" s="81">
        <f t="shared" si="55"/>
        <v>-86.764730265929998</v>
      </c>
      <c r="R222" s="81" t="str">
        <f t="shared" si="56"/>
        <v>-0.000324468625453373+0.00811106448888224i</v>
      </c>
      <c r="S222" s="81">
        <f t="shared" si="57"/>
        <v>-41.811498639949733</v>
      </c>
      <c r="T222" s="81">
        <f t="shared" si="58"/>
        <v>92.290793734427311</v>
      </c>
      <c r="U222" s="81" t="str">
        <f>IMPRODUCT(COMPLEX(-1,0),IMDIV(COMPLEX(1,C222*Calculations!$B$248*Calculations!$B$250),IMPRODUCT(COMPLEX(0,C222*Calculations!$B$237),COMPLEX((Calculations!$B$250+Calculations!$B$252),C222*Calculations!$B$248*Calculations!$B$250*Calculations!$B$252))))</f>
        <v>-0.00112816491660991+0.0411626761500809i</v>
      </c>
      <c r="V222" s="81">
        <f t="shared" si="59"/>
        <v>-27.706666892176919</v>
      </c>
      <c r="W222" s="81">
        <f t="shared" si="60"/>
        <v>91.569939485952787</v>
      </c>
      <c r="X222" s="81">
        <f>Calculations!$B$216/(Calculations!$B$216+Calculations!$B$218)</f>
        <v>0.80079681274900394</v>
      </c>
      <c r="Y222" s="81" t="str">
        <f t="shared" si="61"/>
        <v>-0.000267071396017408-0.0000180232258325355i</v>
      </c>
      <c r="Z222" s="81">
        <f t="shared" si="62"/>
        <v>-71.447718813337616</v>
      </c>
      <c r="AA222" s="81">
        <f t="shared" si="63"/>
        <v>-176.1392667796199</v>
      </c>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c r="BQ222" s="44"/>
      <c r="BR222" s="44"/>
      <c r="BS222" s="44"/>
      <c r="BT222" s="44"/>
      <c r="BU222" s="44"/>
      <c r="BV222" s="44"/>
      <c r="BW222" s="44"/>
      <c r="BX222" s="44"/>
      <c r="BY222" s="44"/>
      <c r="BZ222" s="44"/>
      <c r="CA222" s="44"/>
      <c r="CB222" s="44"/>
      <c r="CC222" s="44"/>
      <c r="CD222" s="44"/>
      <c r="CE222" s="44"/>
      <c r="CF222" s="44"/>
      <c r="CG222" s="44"/>
      <c r="CH222" s="44"/>
      <c r="CI222" s="44"/>
      <c r="CJ222" s="44"/>
      <c r="CK222" s="44"/>
      <c r="CL222" s="44"/>
      <c r="CM222" s="44"/>
      <c r="CN222" s="44"/>
      <c r="CO222" s="44"/>
      <c r="CP222" s="44"/>
    </row>
    <row r="223" spans="1:94" ht="15.75" thickBot="1">
      <c r="B223" s="122">
        <v>1000000</v>
      </c>
      <c r="C223" s="122">
        <f t="shared" si="64"/>
        <v>6283185.307179586</v>
      </c>
      <c r="D223" s="80" t="str">
        <f>IMDIV(COMPLEX((POWER(V48_Nom,2)/(V12_Min*Calculations!$B$28*np)),((Zo_Boost_Cout*Zo_Boost_Resr*POWER(V48_Nom,2))/(V12_Min*Calculations!$B$28*np))*C223),COMPLEX(1,((Zo_Boost_Cout*Zo_Boost_Resr)+((Zo_Boost_Cout*POWER(V48_Nom,2))/(V12_Min*Calculations!$B$28*np)))*C223))</f>
        <v>0.00996886913527205-0.000263608111679205i</v>
      </c>
      <c r="E223" s="122">
        <f t="shared" si="65"/>
        <v>-40.024046405976712</v>
      </c>
      <c r="F223" s="122">
        <f t="shared" si="66"/>
        <v>-1.5147268125897575</v>
      </c>
      <c r="G223" s="1" t="str">
        <f>IMDIV(IMSUM(COMPLEX(V48_Nom,0),IMPRODUCT(COMPLEX(np*(Calculations!$B$28*(V12_Min/V48_Nom)),0),D223)),IMSUM(IMPRODUCT(COMPLEX(((V12_Min/V48_Nom)^2),0),D223),COMPLEX(Rcs/np,(Lm*C223)/np)))</f>
        <v>-0.0000197685448165874-3.2609552105039i</v>
      </c>
      <c r="H223" s="122">
        <f t="shared" si="50"/>
        <v>10.266896675667956</v>
      </c>
      <c r="I223" s="122">
        <f t="shared" si="51"/>
        <v>-90.000347338160751</v>
      </c>
      <c r="J223" s="82" t="str">
        <f>IMPRODUCT(COMPLEX(-1,0),IMDIV(IMSUM(IMSUB(IMPRODUCT(COMPLEX((1-(V12_Min/V48_Nom))*V48_Nom,0),D223),IMPRODUCT(COMPLEX(V48_Nom,0),D223)),IMPRODUCT(COMPLEX(0,Calculations!$B$28*Lm*C223),D223)),IMSUM(IMPRODUCT(COMPLEX(((V12_Min/V48_Nom)^2),0),D223),COMPLEX(Rcs/np,(Lm*C223)/np))))</f>
        <v>-0.59834763499501+0.0076692246012446i</v>
      </c>
      <c r="K223" s="103">
        <f t="shared" si="52"/>
        <v>-4.4602150055754439</v>
      </c>
      <c r="L223" s="103">
        <f t="shared" si="53"/>
        <v>179.26566077054866</v>
      </c>
      <c r="M223" s="1">
        <f t="shared" si="67"/>
        <v>0.66666666666666663</v>
      </c>
      <c r="N223" s="103">
        <f t="shared" si="68"/>
        <v>0.02</v>
      </c>
      <c r="O223" s="103" t="str">
        <f t="shared" si="69"/>
        <v>0.000688340913756655-0.0157274838079032i</v>
      </c>
      <c r="P223" s="103">
        <f t="shared" si="54"/>
        <v>-36.058503987195209</v>
      </c>
      <c r="Q223" s="103">
        <f t="shared" si="55"/>
        <v>-87.493949037842199</v>
      </c>
      <c r="R223" s="103" t="str">
        <f t="shared" si="56"/>
        <v>-0.000194487332841364+0.00628147744581634i</v>
      </c>
      <c r="S223" s="103">
        <f t="shared" si="57"/>
        <v>-44.034602545481121</v>
      </c>
      <c r="T223" s="103">
        <f t="shared" si="58"/>
        <v>91.773427453874106</v>
      </c>
      <c r="U223" s="103" t="str">
        <f>IMPRODUCT(COMPLEX(-1,0),IMDIV(COMPLEX(1,C223*Calculations!$B$248*Calculations!$B$250),IMPRODUCT(COMPLEX(0,C223*Calculations!$B$237),COMPLEX((Calculations!$B$250+Calculations!$B$252),C223*Calculations!$B$248*Calculations!$B$250*Calculations!$B$252))))</f>
        <v>-0.000676521716085174+0.0318803784342844i</v>
      </c>
      <c r="V223" s="103">
        <f t="shared" si="59"/>
        <v>-29.927575385936954</v>
      </c>
      <c r="W223" s="103">
        <f t="shared" si="60"/>
        <v>91.215670083227323</v>
      </c>
      <c r="X223" s="81">
        <f>Calculations!$B$216/(Calculations!$B$216+Calculations!$B$218)</f>
        <v>0.80079681274900394</v>
      </c>
      <c r="Y223" s="81" t="str">
        <f t="shared" si="61"/>
        <v>-0.000160258904152072-0.0000083682351404108i</v>
      </c>
      <c r="Z223" s="103">
        <f t="shared" si="62"/>
        <v>-75.891731212629082</v>
      </c>
      <c r="AA223" s="103">
        <f t="shared" si="63"/>
        <v>-177.01090246289854</v>
      </c>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c r="BP223" s="44"/>
      <c r="BQ223" s="44"/>
      <c r="BR223" s="44"/>
      <c r="BS223" s="44"/>
      <c r="BT223" s="44"/>
      <c r="BU223" s="44"/>
      <c r="BV223" s="44"/>
      <c r="BW223" s="44"/>
      <c r="BX223" s="44"/>
      <c r="BY223" s="44"/>
      <c r="BZ223" s="44"/>
      <c r="CA223" s="44"/>
      <c r="CB223" s="44"/>
      <c r="CC223" s="44"/>
      <c r="CD223" s="44"/>
      <c r="CE223" s="44"/>
      <c r="CF223" s="44"/>
      <c r="CG223" s="44"/>
      <c r="CH223" s="44"/>
      <c r="CI223" s="44"/>
      <c r="CJ223" s="44"/>
      <c r="CK223" s="44"/>
      <c r="CL223" s="44"/>
      <c r="CM223" s="44"/>
      <c r="CN223" s="44"/>
      <c r="CO223" s="44"/>
      <c r="CP223" s="44"/>
    </row>
    <row r="224" spans="1:94">
      <c r="A224" s="79" t="s">
        <v>305</v>
      </c>
      <c r="B224" s="113">
        <f>Calculations!B242</f>
        <v>4000</v>
      </c>
      <c r="C224" s="114">
        <f t="shared" si="64"/>
        <v>25132.741228718343</v>
      </c>
      <c r="D224" s="80" t="str">
        <f>IMDIV(COMPLEX((POWER(V48_Nom,2)/(V12_Min*Calculations!$B$28*np)),((Zo_Boost_Cout*Zo_Boost_Resr*POWER(V48_Nom,2))/(V12_Min*Calculations!$B$28*np))*C224),COMPLEX(1,((Zo_Boost_Cout*Zo_Boost_Resr)+((Zo_Boost_Cout*POWER(V48_Nom,2))/(V12_Min*Calculations!$B$28*np)))*C224))</f>
        <v>0.0113297195103515-0.0658739144639341i</v>
      </c>
      <c r="E224" s="114">
        <f t="shared" si="65"/>
        <v>-23.499125799331061</v>
      </c>
      <c r="F224" s="114">
        <f>IMARGUMENT(D224)*(180/PI())</f>
        <v>-80.241120348729751</v>
      </c>
      <c r="G224" s="1" t="str">
        <f>IMDIV(IMSUM(COMPLEX(V48_Nom,0),IMPRODUCT(COMPLEX(np*(Calculations!$B$28*(V12_Min/V48_Nom)),0),D224)),IMSUM(IMPRODUCT(COMPLEX(((V12_Min/V48_Nom)^2),0),D224),COMPLEX(Rcs/np,(Lm*C224)/np)))</f>
        <v>1.29222041432337-876.668313655205i</v>
      </c>
      <c r="H224" s="114">
        <f t="shared" si="50"/>
        <v>58.856715629483681</v>
      </c>
      <c r="I224" s="114">
        <f>IMARGUMENT(G224)*(180/PI())</f>
        <v>-89.915545342330162</v>
      </c>
      <c r="J224" s="82" t="str">
        <f>IMPRODUCT(COMPLEX(-1,0),IMDIV(IMSUM(IMSUB(IMPRODUCT(COMPLEX((1-(V12_Min/V48_Nom))*V48_Nom,0),D224),IMPRODUCT(COMPLEX(V48_Nom,0),D224)),IMPRODUCT(COMPLEX(0,Calculations!$B$28*Lm*C224),D224)),IMSUM(IMPRODUCT(COMPLEX(((V12_Min/V48_Nom)^2),0),D224),COMPLEX(Rcs/np,(Lm*C224)/np))))</f>
        <v>-15.1493304020118+1.44107892100339i</v>
      </c>
      <c r="K224" s="114">
        <f t="shared" si="52"/>
        <v>23.646990243686989</v>
      </c>
      <c r="L224" s="114">
        <f>IMARGUMENT(J224)*(180/PI())</f>
        <v>174.5660939197127</v>
      </c>
      <c r="M224" s="1">
        <f t="shared" si="67"/>
        <v>0.66666666666666663</v>
      </c>
      <c r="N224" s="114">
        <f t="shared" si="68"/>
        <v>0.02</v>
      </c>
      <c r="O224" s="114" t="str">
        <f t="shared" si="69"/>
        <v>0.350006051949917-0.0710625894097469i</v>
      </c>
      <c r="P224" s="114">
        <f t="shared" si="54"/>
        <v>-8.9430548181932892</v>
      </c>
      <c r="Q224" s="114">
        <f>IMARGUMENT(O224)*(180/PI())</f>
        <v>-11.476899156093545</v>
      </c>
      <c r="R224" s="114" t="str">
        <f>IMDIV(IMPRODUCT(O224,J224,COMPLEX(M224,0)),IMSUM(COMPLEX(1,0),IMPRODUCT(G224,O224,COMPLEX(M224,0),COMPLEX(N224,0))))</f>
        <v>-0.293303882923356-0.834517792995966i</v>
      </c>
      <c r="S224" s="114">
        <f t="shared" si="57"/>
        <v>-1.065450066618586</v>
      </c>
      <c r="T224" s="114">
        <f>IMARGUMENT(R224)*(180/PI())</f>
        <v>-109.36479534972992</v>
      </c>
      <c r="U224" s="116" t="str">
        <f>IMPRODUCT(COMPLEX(-1,0),IMDIV(COMPLEX(1,C224*Calculations!$B$248*Calculations!$B$250),IMPRODUCT(COMPLEX(0,C224*Calculations!$B$237),COMPLEX((Calculations!$B$250+Calculations!$B$252),C224*Calculations!$B$248*Calculations!$B$250*Calculations!$B$252))))</f>
        <v>-1.44297761698854+0.295262847685894i</v>
      </c>
      <c r="V224" s="116">
        <f t="shared" si="59"/>
        <v>3.3633253946094004</v>
      </c>
      <c r="W224" s="116">
        <f t="shared" si="60"/>
        <v>168.43574039139526</v>
      </c>
      <c r="X224" s="81">
        <f>Calculations!$B$216/(Calculations!$B$216+Calculations!$B$218)</f>
        <v>0.80079681274900394</v>
      </c>
      <c r="Y224" s="81" t="str">
        <f t="shared" si="61"/>
        <v>0.536240002572876+0.894961514219429i</v>
      </c>
      <c r="Z224" s="116">
        <f t="shared" si="62"/>
        <v>0.36832204677980313</v>
      </c>
      <c r="AA224" s="117">
        <f t="shared" si="63"/>
        <v>59.070945041665261</v>
      </c>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c r="BD224" s="44"/>
      <c r="BE224" s="44"/>
      <c r="BF224" s="44"/>
      <c r="BG224" s="44"/>
      <c r="BH224" s="44"/>
      <c r="BI224" s="44"/>
      <c r="BJ224" s="44"/>
      <c r="BK224" s="44"/>
      <c r="BL224" s="44"/>
      <c r="BM224" s="44"/>
      <c r="BN224" s="44"/>
      <c r="BO224" s="44"/>
      <c r="BP224" s="44"/>
      <c r="BQ224" s="44"/>
      <c r="BR224" s="44"/>
      <c r="BS224" s="44"/>
      <c r="BT224" s="44"/>
      <c r="BU224" s="44"/>
      <c r="BV224" s="44"/>
      <c r="BW224" s="44"/>
      <c r="BX224" s="44"/>
      <c r="BY224" s="44"/>
      <c r="BZ224" s="44"/>
      <c r="CA224" s="44"/>
      <c r="CB224" s="44"/>
      <c r="CC224" s="44"/>
      <c r="CD224" s="44"/>
      <c r="CE224" s="44"/>
      <c r="CF224" s="44"/>
      <c r="CG224" s="44"/>
      <c r="CH224" s="44"/>
      <c r="CI224" s="44"/>
      <c r="CJ224" s="44"/>
      <c r="CK224" s="44"/>
      <c r="CL224" s="44"/>
      <c r="CM224" s="44"/>
      <c r="CN224" s="44"/>
      <c r="CO224" s="44"/>
      <c r="CP224" s="44"/>
    </row>
    <row r="225" spans="1:94">
      <c r="A225" t="s">
        <v>340</v>
      </c>
      <c r="B225" s="123">
        <f>Calculations!B270*1000</f>
        <v>64.305027511876901</v>
      </c>
      <c r="C225" s="97">
        <f t="shared" si="64"/>
        <v>404.04040404040398</v>
      </c>
      <c r="D225" s="80" t="str">
        <f>IMDIV(COMPLEX((POWER(V48_Nom,2)/(V12_Min*Calculations!$B$28*np)),((Zo_Boost_Cout*Zo_Boost_Resr*POWER(V48_Nom,2))/(V12_Min*Calculations!$B$28*np))*C225),COMPLEX(1,((Zo_Boost_Cout*Zo_Boost_Resr)+((Zo_Boost_Cout*POWER(V48_Nom,2))/(V12_Min*Calculations!$B$28*np)))*C225))</f>
        <v>1.99682537067998-1.54613562178975i</v>
      </c>
      <c r="E225" s="97">
        <f t="shared" si="65"/>
        <v>8.0467409130289891</v>
      </c>
      <c r="F225" s="97">
        <f>IMARGUMENT(D225)*(180/PI())</f>
        <v>-37.75050635204375</v>
      </c>
      <c r="G225" s="1" t="str">
        <f>IMDIV(IMSUM(COMPLEX(V48_Nom,0),IMPRODUCT(COMPLEX(np*(Calculations!$B$28*(V12_Min/V48_Nom)),0),D225)),IMSUM(IMPRODUCT(COMPLEX(((V12_Min/V48_Nom)^2),0),D225),COMPLEX(Rcs/np,(Lm*C225)/np)))</f>
        <v>482.24596351462+183.167510291353i</v>
      </c>
      <c r="H225" s="97">
        <f t="shared" si="50"/>
        <v>54.250636530199934</v>
      </c>
      <c r="I225" s="97">
        <f>IMARGUMENT(G225)*(180/PI())</f>
        <v>20.797866648351892</v>
      </c>
      <c r="J225" s="82" t="str">
        <f>IMPRODUCT(COMPLEX(-1,0),IMDIV(IMSUM(IMSUB(IMPRODUCT(COMPLEX((1-(V12_Min/V48_Nom))*V48_Nom,0),D225),IMPRODUCT(COMPLEX(V48_Nom,0),D225)),IMPRODUCT(COMPLEX(0,Calculations!$B$28*Lm*C225),D225)),IMSUM(IMPRODUCT(COMPLEX(((V12_Min/V48_Nom)^2),0),D225),COMPLEX(Rcs/np,(Lm*C225)/np))))</f>
        <v>192.211719168228-2.2011168665217i</v>
      </c>
      <c r="K225" s="97">
        <f t="shared" si="52"/>
        <v>45.676166747409411</v>
      </c>
      <c r="L225" s="97">
        <f>IMARGUMENT(J225)*(180/PI())</f>
        <v>-0.65609524155159393</v>
      </c>
      <c r="M225" s="1">
        <f t="shared" si="67"/>
        <v>0.66666666666666663</v>
      </c>
      <c r="N225" s="97">
        <f t="shared" si="68"/>
        <v>0.02</v>
      </c>
      <c r="O225" s="97" t="str">
        <f t="shared" si="69"/>
        <v>0.352870540559635-2.45100831574576i</v>
      </c>
      <c r="P225" s="97">
        <f t="shared" si="54"/>
        <v>7.8759926944991125</v>
      </c>
      <c r="Q225" s="97">
        <f>IMARGUMENT(O225)*(180/PI())</f>
        <v>-81.807446429806518</v>
      </c>
      <c r="R225" s="97" t="str">
        <f>IMDIV(IMPRODUCT(O225,J225,COMPLEX(M225,0)),IMSUM(COMPLEX(1,0),IMPRODUCT(G225,O225,COMPLEX(M225,0),COMPLEX(N225,0))))</f>
        <v>16.4887383815817-7.44933156245549i</v>
      </c>
      <c r="S225" s="97">
        <f t="shared" si="57"/>
        <v>25.150402503108293</v>
      </c>
      <c r="T225" s="97">
        <f>IMARGUMENT(R225)*(180/PI())</f>
        <v>-24.312643223626203</v>
      </c>
      <c r="U225" s="81" t="str">
        <f>IMPRODUCT(COMPLEX(-1,0),IMDIV(COMPLEX(1,C225*Calculations!$B$248*Calculations!$B$250),IMPRODUCT(COMPLEX(0,C225*Calculations!$B$237),COMPLEX((Calculations!$B$250+Calculations!$B$252),C225*Calculations!$B$248*Calculations!$B$250*Calculations!$B$252))))</f>
        <v>-1.49392448759076+1.50297857539434i</v>
      </c>
      <c r="V225" s="81">
        <f t="shared" si="59"/>
        <v>6.523193594716056</v>
      </c>
      <c r="W225" s="81">
        <f>IMARGUMENT(U225)*(180/PI())</f>
        <v>134.82690149487985</v>
      </c>
      <c r="X225" s="81">
        <f>Calculations!$B$216/(Calculations!$B$216+Calculations!$B$218)</f>
        <v>0.80079681274900394</v>
      </c>
      <c r="Y225" s="81" t="str">
        <f t="shared" si="61"/>
        <v>-10.7601020078365+28.7573817983548i</v>
      </c>
      <c r="Z225" s="81">
        <f t="shared" si="62"/>
        <v>29.744042816613355</v>
      </c>
      <c r="AA225" s="88">
        <f>IMARGUMENT(Y225)*(180/PI())</f>
        <v>110.51425827125365</v>
      </c>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c r="BD225" s="44"/>
      <c r="BE225" s="44"/>
      <c r="BF225" s="44"/>
      <c r="BG225" s="44"/>
      <c r="BH225" s="44"/>
      <c r="BI225" s="44"/>
      <c r="BJ225" s="44"/>
      <c r="BK225" s="44"/>
      <c r="BL225" s="44"/>
      <c r="BM225" s="44"/>
      <c r="BN225" s="44"/>
      <c r="BO225" s="44"/>
      <c r="BP225" s="44"/>
      <c r="BQ225" s="44"/>
      <c r="BR225" s="44"/>
      <c r="BS225" s="44"/>
      <c r="BT225" s="44"/>
      <c r="BU225" s="44"/>
      <c r="BV225" s="44"/>
      <c r="BW225" s="44"/>
      <c r="BX225" s="44"/>
      <c r="BY225" s="44"/>
      <c r="BZ225" s="44"/>
      <c r="CA225" s="44"/>
      <c r="CB225" s="44"/>
      <c r="CC225" s="44"/>
      <c r="CD225" s="44"/>
      <c r="CE225" s="44"/>
      <c r="CF225" s="44"/>
      <c r="CG225" s="44"/>
      <c r="CH225" s="44"/>
      <c r="CI225" s="44"/>
      <c r="CJ225" s="44"/>
      <c r="CK225" s="44"/>
      <c r="CL225" s="44"/>
      <c r="CM225" s="44"/>
      <c r="CN225" s="44"/>
      <c r="CO225" s="44"/>
      <c r="CP225" s="44"/>
    </row>
    <row r="226" spans="1:94">
      <c r="A226" t="s">
        <v>341</v>
      </c>
      <c r="B226" s="29">
        <f>Calculations!B271*1000</f>
        <v>21220.65907891938</v>
      </c>
      <c r="C226" s="97">
        <f t="shared" si="64"/>
        <v>133333.33333333334</v>
      </c>
      <c r="D226" s="80" t="str">
        <f>IMDIV(COMPLEX((POWER(V48_Nom,2)/(V12_Min*Calculations!$B$28*np)),((Zo_Boost_Cout*Zo_Boost_Resr*POWER(V48_Nom,2))/(V12_Min*Calculations!$B$28*np))*C226),COMPLEX(1,((Zo_Boost_Cout*Zo_Boost_Resr)+((Zo_Boost_Cout*POWER(V48_Nom,2))/(V12_Min*Calculations!$B$28*np)))*C226))</f>
        <v>0.0100172198260306-0.012422051324665i</v>
      </c>
      <c r="E226" s="97">
        <f t="shared" si="65"/>
        <v>-35.940528196398709</v>
      </c>
      <c r="F226" s="97">
        <f>IMARGUMENT(D226)*(180/PI())</f>
        <v>-51.117078467455201</v>
      </c>
      <c r="G226" s="1" t="str">
        <f>IMDIV(IMSUM(COMPLEX(V48_Nom,0),IMPRODUCT(COMPLEX(np*(Calculations!$B$28*(V12_Min/V48_Nom)),0),D226)),IMSUM(IMPRODUCT(COMPLEX(((V12_Min/V48_Nom)^2),0),D226),COMPLEX(Rcs/np,(Lm*C226)/np)))</f>
        <v>-0.0411299830778639-154.05289763444i</v>
      </c>
      <c r="H226" s="97">
        <f t="shared" si="50"/>
        <v>43.753397740081674</v>
      </c>
      <c r="I226" s="97">
        <f>IMARGUMENT(G226)*(180/PI())</f>
        <v>-90.015297176632174</v>
      </c>
      <c r="J226" s="82" t="str">
        <f>IMPRODUCT(COMPLEX(-1,0),IMDIV(IMSUM(IMSUB(IMPRODUCT(COMPLEX((1-(V12_Min/V48_Nom))*V48_Nom,0),D226),IMPRODUCT(COMPLEX(V48_Nom,0),D226)),IMPRODUCT(COMPLEX(0,Calculations!$B$28*Lm*C226),D226)),IMSUM(IMPRODUCT(COMPLEX(((V12_Min/V48_Nom)^2),0),D226),COMPLEX(Rcs/np,(Lm*C226)/np))))</f>
        <v>-1.08073826205608+0.358689613125672i</v>
      </c>
      <c r="K226" s="97">
        <f t="shared" si="52"/>
        <v>1.1282391308526305</v>
      </c>
      <c r="L226" s="97">
        <f>IMARGUMENT(J226)*(180/PI())</f>
        <v>161.63934864033979</v>
      </c>
      <c r="M226" s="1">
        <f t="shared" si="67"/>
        <v>0.66666666666666663</v>
      </c>
      <c r="N226" s="97">
        <f t="shared" si="68"/>
        <v>0.02</v>
      </c>
      <c r="O226" s="97" t="str">
        <f t="shared" si="69"/>
        <v>0.286793958979774-0.145086842884549i</v>
      </c>
      <c r="P226" s="97">
        <f t="shared" si="54"/>
        <v>-9.8589561351357133</v>
      </c>
      <c r="Q226" s="97">
        <f>IMARGUMENT(O226)*(180/PI())</f>
        <v>-26.834495248287329</v>
      </c>
      <c r="R226" s="97" t="str">
        <f>IMDIV(IMPRODUCT(O226,J226,COMPLEX(M226,0)),IMSUM(COMPLEX(1,0),IMPRODUCT(G226,O226,COMPLEX(M226,0),COMPLEX(N226,0))))</f>
        <v>-0.265204109931068+0.0240899954086298i</v>
      </c>
      <c r="S226" s="97">
        <f t="shared" si="57"/>
        <v>-11.49270786339277</v>
      </c>
      <c r="T226" s="97">
        <f>IMARGUMENT(R226)*(180/PI())</f>
        <v>174.80974283341473</v>
      </c>
      <c r="U226" s="81" t="str">
        <f>IMPRODUCT(COMPLEX(-1,0),IMDIV(COMPLEX(1,C226*Calculations!$B$248*Calculations!$B$250),IMPRODUCT(COMPLEX(0,C226*Calculations!$B$237),COMPLEX((Calculations!$B$250+Calculations!$B$252),C226*Calculations!$B$248*Calculations!$B$250*Calculations!$B$252))))</f>
        <v>-0.749229174586854+0.751506445999053i</v>
      </c>
      <c r="V226" s="81">
        <f t="shared" si="59"/>
        <v>0.51579385991120597</v>
      </c>
      <c r="W226" s="81">
        <f>IMARGUMENT(U226)*(180/PI())</f>
        <v>134.91305734415292</v>
      </c>
      <c r="X226" s="81">
        <f>Calculations!$B$216/(Calculations!$B$216+Calculations!$B$218)</f>
        <v>0.80079681274900394</v>
      </c>
      <c r="Y226" s="81" t="str">
        <f t="shared" si="61"/>
        <v>0.144619795932078-0.174054408862088i</v>
      </c>
      <c r="Z226" s="81">
        <f t="shared" si="62"/>
        <v>-12.906467284692535</v>
      </c>
      <c r="AA226" s="88">
        <f>IMARGUMENT(Y226)*(180/PI())</f>
        <v>-50.277199822432351</v>
      </c>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4"/>
      <c r="BG226" s="44"/>
      <c r="BH226" s="44"/>
      <c r="BI226" s="44"/>
      <c r="BJ226" s="44"/>
      <c r="BK226" s="44"/>
      <c r="BL226" s="44"/>
      <c r="BM226" s="44"/>
      <c r="BN226" s="44"/>
      <c r="BO226" s="44"/>
      <c r="BP226" s="44"/>
      <c r="BQ226" s="44"/>
      <c r="BR226" s="44"/>
      <c r="BS226" s="44"/>
      <c r="BT226" s="44"/>
      <c r="BU226" s="44"/>
      <c r="BV226" s="44"/>
      <c r="BW226" s="44"/>
      <c r="BX226" s="44"/>
      <c r="BY226" s="44"/>
      <c r="BZ226" s="44"/>
      <c r="CA226" s="44"/>
      <c r="CB226" s="44"/>
      <c r="CC226" s="44"/>
      <c r="CD226" s="44"/>
      <c r="CE226" s="44"/>
      <c r="CF226" s="44"/>
      <c r="CG226" s="44"/>
      <c r="CH226" s="44"/>
      <c r="CI226" s="44"/>
      <c r="CJ226" s="44"/>
      <c r="CK226" s="44"/>
      <c r="CL226" s="44"/>
      <c r="CM226" s="44"/>
      <c r="CN226" s="44"/>
      <c r="CO226" s="44"/>
      <c r="CP226" s="44"/>
    </row>
    <row r="227" spans="1:94">
      <c r="A227" t="s">
        <v>342</v>
      </c>
      <c r="B227" s="29">
        <f>Calculations!B239</f>
        <v>165.78639905405765</v>
      </c>
      <c r="C227" s="97">
        <f t="shared" si="64"/>
        <v>1041.6666666666667</v>
      </c>
      <c r="D227" s="80" t="str">
        <f>IMDIV(COMPLEX((POWER(V48_Nom,2)/(V12_Min*Calculations!$B$28*np)),((Zo_Boost_Cout*Zo_Boost_Resr*POWER(V48_Nom,2))/(V12_Min*Calculations!$B$28*np))*C227),COMPLEX(1,((Zo_Boost_Cout*Zo_Boost_Resr)+((Zo_Boost_Cout*POWER(V48_Nom,2))/(V12_Min*Calculations!$B$28*np)))*C227))</f>
        <v>0.644795982618294-1.27362194012795i</v>
      </c>
      <c r="E227" s="97">
        <f t="shared" si="65"/>
        <v>3.0917747881186046</v>
      </c>
      <c r="F227" s="97">
        <f>IMARGUMENT(D227)*(180/PI())</f>
        <v>-63.14829594816225</v>
      </c>
      <c r="G227" s="1" t="str">
        <f>IMDIV(IMSUM(COMPLEX(V48_Nom,0),IMPRODUCT(COMPLEX(np*(Calculations!$B$28*(V12_Min/V48_Nom)),0),D227)),IMSUM(IMPRODUCT(COMPLEX(((V12_Min/V48_Nom)^2),0),D227),COMPLEX(Rcs/np,(Lm*C227)/np)))</f>
        <v>502.406124897791+481.817647539858i</v>
      </c>
      <c r="H227" s="97">
        <f t="shared" si="50"/>
        <v>56.85347703892505</v>
      </c>
      <c r="I227" s="97">
        <f>IMARGUMENT(G227)*(180/PI())</f>
        <v>43.80163345486325</v>
      </c>
      <c r="J227" s="82" t="str">
        <f>IMPRODUCT(COMPLEX(-1,0),IMDIV(IMSUM(IMSUB(IMPRODUCT(COMPLEX((1-(V12_Min/V48_Nom))*V48_Nom,0),D227),IMPRODUCT(COMPLEX(V48_Nom,0),D227)),IMPRODUCT(COMPLEX(0,Calculations!$B$28*Lm*C227),D227)),IMSUM(IMPRODUCT(COMPLEX(((V12_Min/V48_Nom)^2),0),D227),COMPLEX(Rcs/np,(Lm*C227)/np))))</f>
        <v>196.203601336003-5.89175305118978i</v>
      </c>
      <c r="K227" s="97">
        <f t="shared" si="52"/>
        <v>45.858053879127361</v>
      </c>
      <c r="L227" s="97">
        <f>IMARGUMENT(J227)*(180/PI())</f>
        <v>-1.720004985711306</v>
      </c>
      <c r="M227" s="1">
        <f t="shared" si="67"/>
        <v>0.66666666666666663</v>
      </c>
      <c r="N227" s="97">
        <f t="shared" si="68"/>
        <v>0.02</v>
      </c>
      <c r="O227" s="97" t="str">
        <f t="shared" si="69"/>
        <v>0.352866324946017-0.951818298223495i</v>
      </c>
      <c r="P227" s="97">
        <f t="shared" si="54"/>
        <v>0.13036497427207194</v>
      </c>
      <c r="Q227" s="97">
        <f>IMARGUMENT(O227)*(180/PI())</f>
        <v>-69.65881294644673</v>
      </c>
      <c r="R227" s="97" t="str">
        <f>IMDIV(IMPRODUCT(O227,J227,COMPLEX(M227,0)),IMSUM(COMPLEX(1,0),IMPRODUCT(G227,O227,COMPLEX(M227,0),COMPLEX(N227,0))))</f>
        <v>8.61390659897087-9.54698217362659i</v>
      </c>
      <c r="S227" s="97">
        <f t="shared" si="57"/>
        <v>22.183891110151265</v>
      </c>
      <c r="T227" s="97">
        <f>IMARGUMENT(R227)*(180/PI())</f>
        <v>-47.941173546610322</v>
      </c>
      <c r="U227" s="81" t="str">
        <f>IMPRODUCT(COMPLEX(-1,0),IMDIV(COMPLEX(1,C227*Calculations!$B$248*Calculations!$B$250),IMPRODUCT(COMPLEX(0,C227*Calculations!$B$237),COMPLEX((Calculations!$B$250+Calculations!$B$252),C227*Calculations!$B$248*Calculations!$B$250*Calculations!$B$252))))</f>
        <v>-1.49384749601289+0.592858293397994i</v>
      </c>
      <c r="V227" s="81">
        <f t="shared" si="59"/>
        <v>4.1213471233066583</v>
      </c>
      <c r="W227" s="81">
        <f>IMARGUMENT(U227)*(180/PI())</f>
        <v>158.35352142739808</v>
      </c>
      <c r="X227" s="81">
        <f>Calculations!$B$216/(Calculations!$B$216+Calculations!$B$218)</f>
        <v>0.80079681274900394</v>
      </c>
      <c r="Y227" s="81" t="str">
        <f t="shared" si="61"/>
        <v>-5.77202750711572+15.5102822208836i</v>
      </c>
      <c r="Z227" s="81">
        <f t="shared" si="62"/>
        <v>24.375684952246942</v>
      </c>
      <c r="AA227" s="88">
        <f>IMARGUMENT(Y227)*(180/PI())</f>
        <v>110.41234788078773</v>
      </c>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4"/>
      <c r="BG227" s="44"/>
      <c r="BH227" s="44"/>
      <c r="BI227" s="44"/>
      <c r="BJ227" s="44"/>
      <c r="BK227" s="44"/>
      <c r="BL227" s="44"/>
      <c r="BM227" s="44"/>
      <c r="BN227" s="44"/>
      <c r="BO227" s="44"/>
      <c r="BP227" s="44"/>
      <c r="BQ227" s="44"/>
      <c r="BR227" s="44"/>
      <c r="BS227" s="44"/>
      <c r="BT227" s="44"/>
      <c r="BU227" s="44"/>
      <c r="BV227" s="44"/>
      <c r="BW227" s="44"/>
      <c r="BX227" s="44"/>
      <c r="BY227" s="44"/>
      <c r="BZ227" s="44"/>
      <c r="CA227" s="44"/>
      <c r="CB227" s="44"/>
      <c r="CC227" s="44"/>
      <c r="CD227" s="44"/>
      <c r="CE227" s="44"/>
      <c r="CF227" s="44"/>
      <c r="CG227" s="44"/>
      <c r="CH227" s="44"/>
      <c r="CI227" s="44"/>
      <c r="CJ227" s="44"/>
      <c r="CK227" s="44"/>
      <c r="CL227" s="44"/>
      <c r="CM227" s="44"/>
      <c r="CN227" s="44"/>
      <c r="CO227" s="44"/>
      <c r="CP227" s="44"/>
    </row>
    <row r="228" spans="1:94" ht="15.75" thickBot="1">
      <c r="A228" t="s">
        <v>343</v>
      </c>
      <c r="B228" s="30">
        <f>Calculations!B240</f>
        <v>11951.560182119802</v>
      </c>
      <c r="C228" s="99">
        <f t="shared" si="64"/>
        <v>75093.86733416772</v>
      </c>
      <c r="D228" s="80" t="str">
        <f>IMDIV(COMPLEX((POWER(V48_Nom,2)/(V12_Min*Calculations!$B$28*np)),((Zo_Boost_Cout*Zo_Boost_Resr*POWER(V48_Nom,2))/(V12_Min*Calculations!$B$28*np))*C228),COMPLEX(1,((Zo_Boost_Cout*Zo_Boost_Resr)+((Zo_Boost_Cout*POWER(V48_Nom,2))/(V12_Min*Calculations!$B$28*np)))*C228))</f>
        <v>0.01012134131655-0.0220553223285573i</v>
      </c>
      <c r="E228" s="99">
        <f t="shared" si="65"/>
        <v>-32.299740853843574</v>
      </c>
      <c r="F228" s="99">
        <f>IMARGUMENT(D228)*(180/PI())</f>
        <v>-65.3492795238204</v>
      </c>
      <c r="G228" s="1" t="str">
        <f>IMDIV(IMSUM(COMPLEX(V48_Nom,0),IMPRODUCT(COMPLEX(np*(Calculations!$B$28*(V12_Min/V48_Nom)),0),D228)),IMSUM(IMPRODUCT(COMPLEX(((V12_Min/V48_Nom)^2),0),D228),COMPLEX(Rcs/np,(Lm*C228)/np)))</f>
        <v>-0.110563909300038-275.009191906314i</v>
      </c>
      <c r="H228" s="99">
        <f t="shared" si="50"/>
        <v>48.786944900570354</v>
      </c>
      <c r="I228" s="99">
        <f>IMARGUMENT(G228)*(180/PI())</f>
        <v>-90.023035030153494</v>
      </c>
      <c r="J228" s="82" t="str">
        <f>IMPRODUCT(COMPLEX(-1,0),IMDIV(IMSUM(IMSUB(IMPRODUCT(COMPLEX((1-(V12_Min/V48_Nom))*V48_Nom,0),D228),IMPRODUCT(COMPLEX(V48_Nom,0),D228)),IMPRODUCT(COMPLEX(0,Calculations!$B$28*Lm*C228),D228)),IMSUM(IMPRODUCT(COMPLEX(((V12_Min/V48_Nom)^2),0),D228),COMPLEX(Rcs/np,(Lm*C228)/np))))</f>
        <v>-2.12768188325778+0.626304951759847i</v>
      </c>
      <c r="K228" s="99">
        <f t="shared" si="52"/>
        <v>6.9190225695133813</v>
      </c>
      <c r="L228" s="99">
        <f>IMARGUMENT(J228)*(180/PI())</f>
        <v>163.59766755818453</v>
      </c>
      <c r="M228" s="1">
        <f t="shared" si="67"/>
        <v>0.66666666666666663</v>
      </c>
      <c r="N228" s="99">
        <f t="shared" si="68"/>
        <v>0.02</v>
      </c>
      <c r="O228" s="99" t="str">
        <f t="shared" si="69"/>
        <v>0.328838888697229-0.102082440457569i</v>
      </c>
      <c r="P228" s="99">
        <f t="shared" si="54"/>
        <v>-9.2607705034497929</v>
      </c>
      <c r="Q228" s="99">
        <f>IMARGUMENT(O228)*(180/PI())</f>
        <v>-17.246067006522953</v>
      </c>
      <c r="R228" s="99" t="str">
        <f>IMDIV(IMPRODUCT(O228,J228,COMPLEX(M228,0)),IMSUM(COMPLEX(1,0),IMPRODUCT(G228,O228,COMPLEX(M228,0),COMPLEX(N228,0))))</f>
        <v>-0.328060592919868-0.18141204959032i</v>
      </c>
      <c r="S228" s="99">
        <f t="shared" si="57"/>
        <v>-8.5221833158976512</v>
      </c>
      <c r="T228" s="99">
        <f>IMARGUMENT(R228)*(180/PI())</f>
        <v>-151.05813625072497</v>
      </c>
      <c r="U228" s="89" t="str">
        <f>IMPRODUCT(COMPLEX(-1,0),IMDIV(COMPLEX(1,C228*Calculations!$B$248*Calculations!$B$250),IMPRODUCT(COMPLEX(0,C228*Calculations!$B$237),COMPLEX((Calculations!$B$250+Calculations!$B$252),C228*Calculations!$B$248*Calculations!$B$250*Calculations!$B$252))))</f>
        <v>-1.13582841768823+0.645832925203992i</v>
      </c>
      <c r="V228" s="89">
        <f t="shared" si="59"/>
        <v>2.3228602043122071</v>
      </c>
      <c r="W228" s="89">
        <f>IMARGUMENT(U228)*(180/PI())</f>
        <v>150.37740598377039</v>
      </c>
      <c r="X228" s="81">
        <f>Calculations!$B$216/(Calculations!$B$216+Calculations!$B$218)</f>
        <v>0.80079681274900394</v>
      </c>
      <c r="Y228" s="81" t="str">
        <f t="shared" si="61"/>
        <v>0.392216199928514-0.00466013385618462i</v>
      </c>
      <c r="Z228" s="89">
        <f t="shared" si="62"/>
        <v>-8.1288763927964318</v>
      </c>
      <c r="AA228" s="90">
        <f>IMARGUMENT(Y228)*(180/PI())</f>
        <v>-0.68073026695463446</v>
      </c>
    </row>
  </sheetData>
  <mergeCells count="47">
    <mergeCell ref="Y167:AA167"/>
    <mergeCell ref="G77:I77"/>
    <mergeCell ref="M77:N77"/>
    <mergeCell ref="D76:T76"/>
    <mergeCell ref="O77:Q77"/>
    <mergeCell ref="R77:T77"/>
    <mergeCell ref="U77:W77"/>
    <mergeCell ref="R167:T167"/>
    <mergeCell ref="M166:N166"/>
    <mergeCell ref="O166:Q166"/>
    <mergeCell ref="R166:T166"/>
    <mergeCell ref="U167:W167"/>
    <mergeCell ref="D5:F6"/>
    <mergeCell ref="G5:I6"/>
    <mergeCell ref="J5:L6"/>
    <mergeCell ref="B5:C6"/>
    <mergeCell ref="CB166:CD166"/>
    <mergeCell ref="AC166:AE166"/>
    <mergeCell ref="B166:C167"/>
    <mergeCell ref="D167:F167"/>
    <mergeCell ref="J167:L167"/>
    <mergeCell ref="D166:F166"/>
    <mergeCell ref="G166:I166"/>
    <mergeCell ref="G167:I167"/>
    <mergeCell ref="J166:L166"/>
    <mergeCell ref="M167:N167"/>
    <mergeCell ref="O167:Q167"/>
    <mergeCell ref="AC167:AE167"/>
    <mergeCell ref="BS167:BU167"/>
    <mergeCell ref="BV167:BX167"/>
    <mergeCell ref="BY167:CA167"/>
    <mergeCell ref="CE166:CP166"/>
    <mergeCell ref="CB167:CD167"/>
    <mergeCell ref="CE167:CG167"/>
    <mergeCell ref="CH167:CJ167"/>
    <mergeCell ref="CK167:CM167"/>
    <mergeCell ref="CN167:CP167"/>
    <mergeCell ref="BD167:BF167"/>
    <mergeCell ref="BG167:BI167"/>
    <mergeCell ref="BJ167:BL167"/>
    <mergeCell ref="BM167:BO167"/>
    <mergeCell ref="BP167:BR167"/>
    <mergeCell ref="B76:C77"/>
    <mergeCell ref="D77:F77"/>
    <mergeCell ref="J77:L77"/>
    <mergeCell ref="BD166:BO166"/>
    <mergeCell ref="BP166:CA166"/>
  </mergeCells>
  <phoneticPr fontId="24" type="noConversion"/>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48"/>
  <sheetViews>
    <sheetView workbookViewId="0">
      <pane ySplit="1" topLeftCell="A5" activePane="bottomLeft" state="frozen"/>
      <selection pane="bottomLeft" activeCell="A21" sqref="A21"/>
    </sheetView>
  </sheetViews>
  <sheetFormatPr defaultRowHeight="15"/>
  <cols>
    <col min="1" max="1" width="34.7109375" style="13" customWidth="1"/>
    <col min="2" max="2" width="9.140625" style="6"/>
    <col min="3" max="3" width="12" style="1" bestFit="1" customWidth="1"/>
    <col min="4" max="4" width="9.140625" style="7"/>
    <col min="5" max="5" width="9.140625" style="14"/>
  </cols>
  <sheetData>
    <row r="1" spans="1:5">
      <c r="A1" s="11" t="s">
        <v>17</v>
      </c>
      <c r="B1" s="8" t="s">
        <v>18</v>
      </c>
      <c r="C1" s="9" t="s">
        <v>19</v>
      </c>
      <c r="D1" s="10" t="s">
        <v>20</v>
      </c>
      <c r="E1" s="12" t="s">
        <v>21</v>
      </c>
    </row>
    <row r="2" spans="1:5">
      <c r="A2" s="323" t="s">
        <v>87</v>
      </c>
      <c r="B2" s="298"/>
      <c r="C2" s="298"/>
      <c r="D2" s="298"/>
      <c r="E2" s="324"/>
    </row>
    <row r="3" spans="1:5">
      <c r="A3" s="13" t="s">
        <v>22</v>
      </c>
      <c r="C3" s="1">
        <f>200*(10^-9)</f>
        <v>2.0000000000000002E-7</v>
      </c>
      <c r="E3" s="14" t="s">
        <v>23</v>
      </c>
    </row>
    <row r="4" spans="1:5">
      <c r="A4" s="13" t="s">
        <v>41</v>
      </c>
      <c r="C4" s="1">
        <f>1*10^-4</f>
        <v>1E-4</v>
      </c>
      <c r="E4" s="14" t="s">
        <v>444</v>
      </c>
    </row>
    <row r="5" spans="1:5">
      <c r="A5" s="13" t="s">
        <v>43</v>
      </c>
      <c r="C5" s="1">
        <v>40</v>
      </c>
      <c r="E5" s="14" t="s">
        <v>42</v>
      </c>
    </row>
    <row r="6" spans="1:5">
      <c r="A6" s="13" t="s">
        <v>157</v>
      </c>
      <c r="C6" s="1">
        <v>0.05</v>
      </c>
      <c r="E6" s="14" t="s">
        <v>1</v>
      </c>
    </row>
    <row r="7" spans="1:5">
      <c r="A7" s="13" t="s">
        <v>45</v>
      </c>
      <c r="C7" s="1">
        <f>1/Acs</f>
        <v>2.5000000000000001E-2</v>
      </c>
      <c r="E7" s="14" t="s">
        <v>42</v>
      </c>
    </row>
    <row r="8" spans="1:5">
      <c r="A8" s="13" t="s">
        <v>214</v>
      </c>
      <c r="C8" s="1">
        <v>3.125E-2</v>
      </c>
      <c r="E8" s="14" t="s">
        <v>42</v>
      </c>
    </row>
    <row r="9" spans="1:5">
      <c r="A9" s="13" t="s">
        <v>61</v>
      </c>
      <c r="E9" s="14" t="s">
        <v>53</v>
      </c>
    </row>
    <row r="10" spans="1:5">
      <c r="A10" s="13" t="s">
        <v>478</v>
      </c>
      <c r="C10" s="1">
        <v>3.5</v>
      </c>
      <c r="E10" s="14" t="s">
        <v>1</v>
      </c>
    </row>
    <row r="11" spans="1:5">
      <c r="A11" s="13" t="s">
        <v>66</v>
      </c>
      <c r="C11" s="1">
        <v>2.5</v>
      </c>
      <c r="E11" s="14" t="s">
        <v>1</v>
      </c>
    </row>
    <row r="12" spans="1:5">
      <c r="A12" s="13" t="s">
        <v>63</v>
      </c>
      <c r="C12" s="1">
        <v>1.25</v>
      </c>
      <c r="E12" s="14" t="s">
        <v>1</v>
      </c>
    </row>
    <row r="13" spans="1:5">
      <c r="A13" s="13" t="s">
        <v>154</v>
      </c>
      <c r="C13" s="1">
        <f>25*(10^-6)</f>
        <v>2.4999999999999998E-5</v>
      </c>
      <c r="E13" s="14" t="s">
        <v>4</v>
      </c>
    </row>
    <row r="14" spans="1:5">
      <c r="A14" s="13" t="s">
        <v>62</v>
      </c>
      <c r="C14" s="1">
        <v>8</v>
      </c>
      <c r="E14" s="14" t="s">
        <v>1</v>
      </c>
    </row>
    <row r="15" spans="1:5">
      <c r="A15" s="13" t="s">
        <v>46</v>
      </c>
      <c r="C15" s="1">
        <f>50*(10^-6)</f>
        <v>4.9999999999999996E-5</v>
      </c>
      <c r="E15" s="14" t="s">
        <v>4</v>
      </c>
    </row>
    <row r="16" spans="1:5">
      <c r="A16" s="13" t="s">
        <v>47</v>
      </c>
      <c r="C16" s="1">
        <v>500</v>
      </c>
      <c r="E16" s="14" t="s">
        <v>48</v>
      </c>
    </row>
    <row r="17" spans="1:5">
      <c r="A17" s="13" t="s">
        <v>50</v>
      </c>
      <c r="C17" s="1">
        <f>4.15*(10^9)</f>
        <v>4150000000.0000005</v>
      </c>
      <c r="E17" s="14" t="s">
        <v>49</v>
      </c>
    </row>
    <row r="18" spans="1:5">
      <c r="A18" s="13" t="s">
        <v>488</v>
      </c>
      <c r="C18" s="1">
        <v>1</v>
      </c>
      <c r="E18" s="14" t="s">
        <v>1</v>
      </c>
    </row>
    <row r="19" spans="1:5">
      <c r="A19" s="13" t="s">
        <v>51</v>
      </c>
      <c r="E19" s="14" t="s">
        <v>53</v>
      </c>
    </row>
    <row r="20" spans="1:5">
      <c r="A20" s="13" t="s">
        <v>52</v>
      </c>
      <c r="E20" s="14" t="s">
        <v>53</v>
      </c>
    </row>
    <row r="21" spans="1:5">
      <c r="A21" s="13" t="s">
        <v>54</v>
      </c>
      <c r="E21" s="14" t="s">
        <v>4</v>
      </c>
    </row>
    <row r="22" spans="1:5">
      <c r="A22" s="13" t="s">
        <v>60</v>
      </c>
      <c r="E22" s="14" t="s">
        <v>4</v>
      </c>
    </row>
    <row r="23" spans="1:5">
      <c r="A23" s="13" t="s">
        <v>59</v>
      </c>
      <c r="E23" s="14" t="s">
        <v>1</v>
      </c>
    </row>
    <row r="24" spans="1:5">
      <c r="A24" s="13" t="s">
        <v>55</v>
      </c>
      <c r="E24" s="14" t="s">
        <v>53</v>
      </c>
    </row>
    <row r="25" spans="1:5">
      <c r="A25" s="13" t="s">
        <v>56</v>
      </c>
      <c r="E25" s="14" t="s">
        <v>53</v>
      </c>
    </row>
    <row r="26" spans="1:5">
      <c r="A26" s="13" t="s">
        <v>57</v>
      </c>
      <c r="C26" s="1">
        <f>2.625*(10^-12)</f>
        <v>2.6249999999999998E-12</v>
      </c>
      <c r="E26" s="14" t="s">
        <v>58</v>
      </c>
    </row>
    <row r="27" spans="1:5">
      <c r="A27" s="13" t="s">
        <v>192</v>
      </c>
      <c r="C27" s="1">
        <f>0</f>
        <v>0</v>
      </c>
      <c r="E27" s="14" t="s">
        <v>23</v>
      </c>
    </row>
    <row r="28" spans="1:5">
      <c r="A28" s="13" t="s">
        <v>65</v>
      </c>
      <c r="C28" s="1">
        <v>1.5</v>
      </c>
      <c r="E28" s="14" t="s">
        <v>1</v>
      </c>
    </row>
    <row r="29" spans="1:5">
      <c r="A29" s="13" t="s">
        <v>197</v>
      </c>
      <c r="C29" s="1">
        <f>40*(10^-9)</f>
        <v>4.0000000000000001E-8</v>
      </c>
      <c r="E29" s="14" t="s">
        <v>23</v>
      </c>
    </row>
    <row r="30" spans="1:5">
      <c r="A30" s="13" t="s">
        <v>198</v>
      </c>
      <c r="C30" s="1">
        <f>40*(10^-9)</f>
        <v>4.0000000000000001E-8</v>
      </c>
      <c r="E30" s="14" t="s">
        <v>23</v>
      </c>
    </row>
    <row r="31" spans="1:5">
      <c r="A31" s="13" t="s">
        <v>208</v>
      </c>
      <c r="C31" s="1">
        <f>15*(10^-9)</f>
        <v>1.5000000000000002E-8</v>
      </c>
      <c r="E31" s="14" t="s">
        <v>23</v>
      </c>
    </row>
    <row r="32" spans="1:5">
      <c r="A32" s="13" t="s">
        <v>209</v>
      </c>
      <c r="C32" s="1">
        <f>200*(10^-9)</f>
        <v>2.0000000000000002E-7</v>
      </c>
      <c r="E32" s="14" t="s">
        <v>23</v>
      </c>
    </row>
    <row r="33" spans="1:5">
      <c r="A33" s="13" t="s">
        <v>64</v>
      </c>
      <c r="C33" s="1">
        <f>50*(10^-6)</f>
        <v>4.9999999999999996E-5</v>
      </c>
      <c r="E33" s="14" t="s">
        <v>4</v>
      </c>
    </row>
    <row r="34" spans="1:5">
      <c r="A34" s="13" t="s">
        <v>142</v>
      </c>
      <c r="C34" s="1">
        <v>5</v>
      </c>
      <c r="E34" s="14" t="s">
        <v>1</v>
      </c>
    </row>
    <row r="36" spans="1:5">
      <c r="A36" s="13" t="s">
        <v>88</v>
      </c>
      <c r="B36" s="6">
        <v>0</v>
      </c>
      <c r="D36" s="7">
        <v>75</v>
      </c>
      <c r="E36" s="14" t="s">
        <v>1</v>
      </c>
    </row>
    <row r="37" spans="1:5">
      <c r="A37" s="13" t="s">
        <v>89</v>
      </c>
      <c r="B37" s="6">
        <v>1</v>
      </c>
      <c r="D37" s="7">
        <v>75</v>
      </c>
      <c r="E37" s="14" t="s">
        <v>1</v>
      </c>
    </row>
    <row r="38" spans="1:5">
      <c r="A38" s="13" t="s">
        <v>90</v>
      </c>
      <c r="B38" s="6">
        <v>3</v>
      </c>
      <c r="D38" s="7">
        <v>80</v>
      </c>
      <c r="E38" s="14" t="s">
        <v>1</v>
      </c>
    </row>
    <row r="39" spans="1:5">
      <c r="A39" s="13" t="s">
        <v>91</v>
      </c>
      <c r="B39" s="6">
        <v>50000</v>
      </c>
      <c r="D39" s="7">
        <v>1000000</v>
      </c>
      <c r="E39" s="14" t="s">
        <v>83</v>
      </c>
    </row>
    <row r="40" spans="1:5">
      <c r="A40" s="13" t="s">
        <v>92</v>
      </c>
      <c r="B40" s="6">
        <v>15</v>
      </c>
      <c r="D40" s="7">
        <v>200</v>
      </c>
      <c r="E40" s="14" t="s">
        <v>93</v>
      </c>
    </row>
    <row r="43" spans="1:5">
      <c r="A43" s="13" t="s">
        <v>96</v>
      </c>
      <c r="E43" s="14" t="s">
        <v>1</v>
      </c>
    </row>
    <row r="44" spans="1:5">
      <c r="A44" s="13" t="s">
        <v>97</v>
      </c>
      <c r="E44" s="14" t="s">
        <v>1</v>
      </c>
    </row>
    <row r="46" spans="1:5">
      <c r="A46" s="13" t="s">
        <v>105</v>
      </c>
      <c r="C46" s="1">
        <v>4</v>
      </c>
      <c r="E46" s="14" t="s">
        <v>1</v>
      </c>
    </row>
    <row r="48" spans="1:5">
      <c r="A48" s="13" t="s">
        <v>159</v>
      </c>
      <c r="C48" s="1">
        <v>3</v>
      </c>
      <c r="E48" s="14" t="s">
        <v>1</v>
      </c>
    </row>
  </sheetData>
  <autoFilter ref="A1:E33" xr:uid="{00000000-0009-0000-0000-000004000000}"/>
  <mergeCells count="1">
    <mergeCell ref="A2:E2"/>
  </mergeCells>
  <phoneticPr fontId="24"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7"/>
  <sheetViews>
    <sheetView workbookViewId="0">
      <selection activeCell="G10" sqref="G10"/>
    </sheetView>
  </sheetViews>
  <sheetFormatPr defaultRowHeight="15"/>
  <cols>
    <col min="13" max="13" width="10.5703125" customWidth="1"/>
    <col min="14" max="14" width="9.42578125" customWidth="1"/>
    <col min="15" max="15" width="13.7109375" customWidth="1"/>
    <col min="16" max="16" width="10.85546875" customWidth="1"/>
    <col min="18" max="18" width="10.85546875" customWidth="1"/>
  </cols>
  <sheetData>
    <row r="1" spans="1:18">
      <c r="A1" t="s">
        <v>145</v>
      </c>
      <c r="C1" t="s">
        <v>185</v>
      </c>
      <c r="E1" t="s">
        <v>160</v>
      </c>
      <c r="G1" t="s">
        <v>92</v>
      </c>
      <c r="K1" t="s">
        <v>474</v>
      </c>
      <c r="M1" t="s">
        <v>508</v>
      </c>
      <c r="N1" t="s">
        <v>509</v>
      </c>
      <c r="O1" t="s">
        <v>491</v>
      </c>
      <c r="Q1" t="s">
        <v>510</v>
      </c>
    </row>
    <row r="2" spans="1:18">
      <c r="A2" s="43" t="s">
        <v>146</v>
      </c>
      <c r="C2" t="s">
        <v>480</v>
      </c>
      <c r="E2">
        <v>1.8</v>
      </c>
      <c r="G2" t="s">
        <v>188</v>
      </c>
      <c r="I2" s="36"/>
      <c r="K2" t="s">
        <v>473</v>
      </c>
      <c r="M2" t="s">
        <v>583</v>
      </c>
      <c r="N2" t="s">
        <v>567</v>
      </c>
      <c r="O2" t="s">
        <v>507</v>
      </c>
      <c r="Q2" t="s">
        <v>511</v>
      </c>
      <c r="R2" t="s">
        <v>575</v>
      </c>
    </row>
    <row r="3" spans="1:18">
      <c r="A3" t="s">
        <v>147</v>
      </c>
      <c r="C3" t="s">
        <v>253</v>
      </c>
      <c r="E3">
        <v>3</v>
      </c>
      <c r="G3" t="s">
        <v>593</v>
      </c>
      <c r="K3" t="s">
        <v>472</v>
      </c>
      <c r="M3" t="s">
        <v>584</v>
      </c>
      <c r="N3" t="s">
        <v>567</v>
      </c>
      <c r="O3" t="s">
        <v>506</v>
      </c>
      <c r="Q3" t="s">
        <v>512</v>
      </c>
      <c r="R3" t="s">
        <v>574</v>
      </c>
    </row>
    <row r="4" spans="1:18">
      <c r="M4" t="s">
        <v>585</v>
      </c>
      <c r="N4" t="s">
        <v>567</v>
      </c>
      <c r="O4" t="s">
        <v>492</v>
      </c>
    </row>
    <row r="5" spans="1:18">
      <c r="M5" t="s">
        <v>586</v>
      </c>
      <c r="N5" t="s">
        <v>567</v>
      </c>
      <c r="O5" t="s">
        <v>493</v>
      </c>
    </row>
    <row r="6" spans="1:18">
      <c r="M6" t="s">
        <v>587</v>
      </c>
      <c r="N6" t="s">
        <v>567</v>
      </c>
      <c r="O6" t="s">
        <v>494</v>
      </c>
    </row>
    <row r="7" spans="1:18">
      <c r="M7" t="s">
        <v>588</v>
      </c>
      <c r="N7" t="s">
        <v>567</v>
      </c>
      <c r="O7" t="s">
        <v>495</v>
      </c>
    </row>
    <row r="8" spans="1:18">
      <c r="M8" t="s">
        <v>589</v>
      </c>
      <c r="N8" t="s">
        <v>567</v>
      </c>
      <c r="O8" t="s">
        <v>496</v>
      </c>
    </row>
    <row r="9" spans="1:18">
      <c r="M9" t="s">
        <v>590</v>
      </c>
      <c r="N9" t="s">
        <v>567</v>
      </c>
      <c r="O9" t="s">
        <v>497</v>
      </c>
    </row>
    <row r="10" spans="1:18">
      <c r="M10" t="s">
        <v>590</v>
      </c>
      <c r="N10" t="s">
        <v>568</v>
      </c>
      <c r="O10" t="s">
        <v>498</v>
      </c>
    </row>
    <row r="11" spans="1:18">
      <c r="M11" t="s">
        <v>589</v>
      </c>
      <c r="N11" t="s">
        <v>568</v>
      </c>
      <c r="O11" t="s">
        <v>499</v>
      </c>
    </row>
    <row r="12" spans="1:18">
      <c r="M12" t="s">
        <v>588</v>
      </c>
      <c r="N12" t="s">
        <v>568</v>
      </c>
      <c r="O12" t="s">
        <v>505</v>
      </c>
    </row>
    <row r="13" spans="1:18">
      <c r="M13" t="s">
        <v>587</v>
      </c>
      <c r="N13" t="s">
        <v>568</v>
      </c>
      <c r="O13" t="s">
        <v>500</v>
      </c>
    </row>
    <row r="14" spans="1:18">
      <c r="M14" t="s">
        <v>586</v>
      </c>
      <c r="N14" t="s">
        <v>568</v>
      </c>
      <c r="O14" t="s">
        <v>501</v>
      </c>
    </row>
    <row r="15" spans="1:18">
      <c r="M15" t="s">
        <v>585</v>
      </c>
      <c r="N15" t="s">
        <v>568</v>
      </c>
      <c r="O15" t="s">
        <v>502</v>
      </c>
    </row>
    <row r="16" spans="1:18">
      <c r="M16" t="s">
        <v>584</v>
      </c>
      <c r="N16" t="s">
        <v>568</v>
      </c>
      <c r="O16" t="s">
        <v>503</v>
      </c>
    </row>
    <row r="17" spans="13:15">
      <c r="M17" t="s">
        <v>583</v>
      </c>
      <c r="N17" t="s">
        <v>568</v>
      </c>
      <c r="O17" t="s">
        <v>504</v>
      </c>
    </row>
  </sheetData>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7D0C8-89E5-490E-AEAB-C8627E3998E3}">
  <dimension ref="A1:AM47"/>
  <sheetViews>
    <sheetView topLeftCell="A4" workbookViewId="0">
      <selection activeCell="A40" sqref="A40"/>
    </sheetView>
  </sheetViews>
  <sheetFormatPr defaultColWidth="9.140625" defaultRowHeight="14.25"/>
  <cols>
    <col min="1" max="1" width="25.7109375" style="192" bestFit="1" customWidth="1"/>
    <col min="2" max="2" width="56.5703125" style="199" customWidth="1"/>
    <col min="3" max="11" width="9.140625" style="186"/>
    <col min="12" max="12" width="20.42578125" style="186" customWidth="1"/>
    <col min="13" max="16384" width="9.140625" style="186"/>
  </cols>
  <sheetData>
    <row r="1" spans="1:12">
      <c r="A1" s="326"/>
      <c r="B1" s="326"/>
      <c r="C1" s="326"/>
      <c r="D1" s="326"/>
      <c r="E1" s="326"/>
      <c r="F1" s="326"/>
      <c r="G1" s="326"/>
      <c r="H1" s="326"/>
      <c r="I1" s="326"/>
      <c r="J1" s="326"/>
      <c r="K1" s="326"/>
      <c r="L1" s="326"/>
    </row>
    <row r="2" spans="1:12">
      <c r="A2" s="326"/>
      <c r="B2" s="326"/>
      <c r="C2" s="326"/>
      <c r="D2" s="326"/>
      <c r="E2" s="326"/>
      <c r="F2" s="326"/>
      <c r="G2" s="326"/>
      <c r="H2" s="326"/>
      <c r="I2" s="326"/>
      <c r="J2" s="326"/>
      <c r="K2" s="326"/>
      <c r="L2" s="326"/>
    </row>
    <row r="3" spans="1:12">
      <c r="A3" s="326"/>
      <c r="B3" s="326"/>
      <c r="C3" s="326"/>
      <c r="D3" s="326"/>
      <c r="E3" s="326"/>
      <c r="F3" s="326"/>
      <c r="G3" s="326"/>
      <c r="H3" s="326"/>
      <c r="I3" s="326"/>
      <c r="J3" s="326"/>
      <c r="K3" s="326"/>
      <c r="L3" s="326"/>
    </row>
    <row r="4" spans="1:12">
      <c r="A4" s="327"/>
      <c r="B4" s="327"/>
      <c r="C4" s="327"/>
      <c r="D4" s="327"/>
      <c r="E4" s="327"/>
      <c r="F4" s="327"/>
      <c r="G4" s="327"/>
      <c r="H4" s="327"/>
      <c r="I4" s="327"/>
      <c r="J4" s="327"/>
      <c r="K4" s="327"/>
      <c r="L4" s="327"/>
    </row>
    <row r="5" spans="1:12">
      <c r="A5" s="187" t="s">
        <v>423</v>
      </c>
      <c r="B5" s="188" t="str">
        <f>LOOKUP(2,1/((A37:A46)&lt;&gt;""),(A37:A46))</f>
        <v>1.0.2</v>
      </c>
      <c r="C5" s="189"/>
      <c r="D5" s="189"/>
      <c r="E5" s="189"/>
      <c r="F5" s="189"/>
      <c r="G5" s="189"/>
      <c r="H5" s="189"/>
      <c r="I5" s="189"/>
      <c r="J5" s="189"/>
      <c r="K5" s="190"/>
      <c r="L5" s="191"/>
    </row>
    <row r="6" spans="1:12">
      <c r="A6" s="187"/>
      <c r="B6" s="188"/>
      <c r="C6" s="189"/>
      <c r="D6" s="189"/>
      <c r="E6" s="189"/>
      <c r="F6" s="189"/>
      <c r="G6" s="189"/>
      <c r="H6" s="189"/>
      <c r="I6" s="189"/>
      <c r="J6" s="191"/>
      <c r="K6" s="191"/>
      <c r="L6" s="191"/>
    </row>
    <row r="33" spans="1:39">
      <c r="B33" s="193"/>
    </row>
    <row r="34" spans="1:39">
      <c r="B34" s="193"/>
    </row>
    <row r="35" spans="1:39">
      <c r="A35" s="194" t="s">
        <v>425</v>
      </c>
      <c r="B35" s="195"/>
      <c r="C35" s="189"/>
      <c r="D35" s="189"/>
      <c r="E35" s="189"/>
      <c r="F35" s="189"/>
      <c r="G35" s="189"/>
      <c r="H35" s="189"/>
      <c r="I35" s="189"/>
      <c r="J35" s="189"/>
      <c r="K35" s="189"/>
    </row>
    <row r="36" spans="1:39">
      <c r="A36" s="196" t="s">
        <v>426</v>
      </c>
      <c r="B36" s="328" t="s">
        <v>427</v>
      </c>
      <c r="C36" s="328"/>
      <c r="D36" s="328"/>
      <c r="E36" s="328"/>
      <c r="F36" s="328"/>
      <c r="G36" s="328"/>
      <c r="H36" s="328"/>
      <c r="I36" s="328"/>
      <c r="J36" s="328"/>
      <c r="K36" s="328"/>
    </row>
    <row r="37" spans="1:39">
      <c r="A37" s="194" t="s">
        <v>424</v>
      </c>
      <c r="B37" s="329" t="s">
        <v>428</v>
      </c>
      <c r="C37" s="329"/>
      <c r="D37" s="329"/>
      <c r="E37" s="329"/>
      <c r="F37" s="329"/>
      <c r="G37" s="329"/>
      <c r="H37" s="329"/>
      <c r="I37" s="329"/>
      <c r="J37" s="329"/>
      <c r="K37" s="329"/>
    </row>
    <row r="38" spans="1:39" ht="14.25" customHeight="1">
      <c r="A38" s="194" t="s">
        <v>581</v>
      </c>
      <c r="B38" s="325" t="s">
        <v>582</v>
      </c>
      <c r="C38" s="325"/>
      <c r="D38" s="325"/>
      <c r="E38" s="325"/>
      <c r="F38" s="325"/>
      <c r="G38" s="325"/>
      <c r="H38" s="325"/>
      <c r="I38" s="325"/>
      <c r="J38" s="325"/>
      <c r="K38" s="325"/>
    </row>
    <row r="39" spans="1:39" ht="14.25" customHeight="1">
      <c r="A39" s="194" t="s">
        <v>592</v>
      </c>
      <c r="B39" s="325" t="s">
        <v>591</v>
      </c>
      <c r="C39" s="325"/>
      <c r="D39" s="325"/>
      <c r="E39" s="325"/>
      <c r="F39" s="325"/>
      <c r="G39" s="325"/>
      <c r="H39" s="325"/>
      <c r="I39" s="325"/>
      <c r="J39" s="325"/>
      <c r="K39" s="325"/>
    </row>
    <row r="40" spans="1:39" ht="14.25" customHeight="1">
      <c r="A40" s="194"/>
      <c r="B40" s="325"/>
      <c r="C40" s="325"/>
      <c r="D40" s="325"/>
      <c r="E40" s="325"/>
      <c r="F40" s="325"/>
      <c r="G40" s="325"/>
      <c r="H40" s="325"/>
      <c r="I40" s="325"/>
      <c r="J40" s="325"/>
      <c r="K40" s="325"/>
    </row>
    <row r="41" spans="1:39" ht="14.25" customHeight="1">
      <c r="A41" s="194"/>
      <c r="B41" s="325"/>
      <c r="C41" s="325"/>
      <c r="D41" s="325"/>
      <c r="E41" s="325"/>
      <c r="F41" s="325"/>
      <c r="G41" s="325"/>
      <c r="H41" s="325"/>
      <c r="I41" s="325"/>
      <c r="J41" s="325"/>
      <c r="K41" s="325"/>
    </row>
    <row r="42" spans="1:39">
      <c r="A42" s="194"/>
      <c r="B42" s="325"/>
      <c r="C42" s="325"/>
      <c r="D42" s="325"/>
      <c r="E42" s="325"/>
      <c r="F42" s="325"/>
      <c r="G42" s="325"/>
      <c r="H42" s="325"/>
      <c r="I42" s="325"/>
      <c r="J42" s="325"/>
      <c r="K42" s="325"/>
    </row>
    <row r="43" spans="1:39">
      <c r="A43" s="194"/>
      <c r="B43" s="325"/>
      <c r="C43" s="325"/>
      <c r="D43" s="325"/>
      <c r="E43" s="325"/>
      <c r="F43" s="325"/>
      <c r="G43" s="325"/>
      <c r="H43" s="325"/>
      <c r="I43" s="325"/>
      <c r="J43" s="325"/>
      <c r="K43" s="325"/>
    </row>
    <row r="44" spans="1:39" s="198" customFormat="1" ht="15">
      <c r="A44" s="194"/>
      <c r="B44" s="325"/>
      <c r="C44" s="325"/>
      <c r="D44" s="325"/>
      <c r="E44" s="325"/>
      <c r="F44" s="325"/>
      <c r="G44" s="325"/>
      <c r="H44" s="325"/>
      <c r="I44" s="325"/>
      <c r="J44" s="325"/>
      <c r="K44" s="325"/>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row>
    <row r="45" spans="1:39">
      <c r="A45" s="194"/>
      <c r="B45" s="325"/>
      <c r="C45" s="325"/>
      <c r="D45" s="325"/>
      <c r="E45" s="325"/>
      <c r="F45" s="325"/>
      <c r="G45" s="325"/>
      <c r="H45" s="325"/>
      <c r="I45" s="325"/>
      <c r="J45" s="325"/>
      <c r="K45" s="325"/>
    </row>
    <row r="46" spans="1:39">
      <c r="A46" s="194"/>
      <c r="B46" s="325"/>
      <c r="C46" s="325"/>
      <c r="D46" s="325"/>
      <c r="E46" s="325"/>
      <c r="F46" s="325"/>
      <c r="G46" s="325"/>
      <c r="H46" s="325"/>
      <c r="I46" s="325"/>
      <c r="J46" s="325"/>
      <c r="K46" s="325"/>
    </row>
    <row r="47" spans="1:39">
      <c r="A47" s="194"/>
      <c r="B47" s="325"/>
      <c r="C47" s="325"/>
      <c r="D47" s="325"/>
      <c r="E47" s="325"/>
      <c r="F47" s="325"/>
      <c r="G47" s="325"/>
      <c r="H47" s="325"/>
      <c r="I47" s="325"/>
      <c r="J47" s="325"/>
      <c r="K47" s="325"/>
    </row>
  </sheetData>
  <sheetProtection algorithmName="SHA-512" hashValue="TcJIPp4KISzCPqGJEehgvKKlM0MhdhERiu1gXnM2jtMbDYuA4TV7EKMhVTdHgTYLP/9NmmMTHdjXyNg+xzU2SA==" saltValue="HCjKptaJGQygtPYkaK4gjg==" spinCount="100000" sheet="1" objects="1" scenarios="1" selectLockedCells="1" selectUnlockedCells="1"/>
  <mergeCells count="14">
    <mergeCell ref="B39:K39"/>
    <mergeCell ref="A1:L3"/>
    <mergeCell ref="A4:L4"/>
    <mergeCell ref="B36:K36"/>
    <mergeCell ref="B37:K37"/>
    <mergeCell ref="B38:K38"/>
    <mergeCell ref="B46:K46"/>
    <mergeCell ref="B47:K47"/>
    <mergeCell ref="B40:K40"/>
    <mergeCell ref="B41:K41"/>
    <mergeCell ref="B42:K42"/>
    <mergeCell ref="B43:K43"/>
    <mergeCell ref="B44:K44"/>
    <mergeCell ref="B45:K4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17</vt:i4>
      </vt:variant>
    </vt:vector>
  </HeadingPairs>
  <TitlesOfParts>
    <vt:vector size="23" baseType="lpstr">
      <vt:lpstr>Design_Converter</vt:lpstr>
      <vt:lpstr>Calculations</vt:lpstr>
      <vt:lpstr>Compensation</vt:lpstr>
      <vt:lpstr>Constants</vt:lpstr>
      <vt:lpstr>Lists</vt:lpstr>
      <vt:lpstr>Licenses</vt:lpstr>
      <vt:lpstr>Acs</vt:lpstr>
      <vt:lpstr>fco</vt:lpstr>
      <vt:lpstr>Fsw</vt:lpstr>
      <vt:lpstr>gm</vt:lpstr>
      <vt:lpstr>I_Channel</vt:lpstr>
      <vt:lpstr>I_Channel_Design</vt:lpstr>
      <vt:lpstr>I_Channel_Peak_No_Ilimit</vt:lpstr>
      <vt:lpstr>I_Channel_Peak_Select</vt:lpstr>
      <vt:lpstr>ISETA_Max</vt:lpstr>
      <vt:lpstr>Kff</vt:lpstr>
      <vt:lpstr>np</vt:lpstr>
      <vt:lpstr>V12_Max</vt:lpstr>
      <vt:lpstr>V12_Min</vt:lpstr>
      <vt:lpstr>V12_Nom</vt:lpstr>
      <vt:lpstr>V48_Max</vt:lpstr>
      <vt:lpstr>V48_Min</vt:lpstr>
      <vt:lpstr>V48_Nom</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PPD-NPS</dc:creator>
  <cp:lastModifiedBy>Ji, Feng</cp:lastModifiedBy>
  <cp:lastPrinted>2016-05-24T23:01:03Z</cp:lastPrinted>
  <dcterms:created xsi:type="dcterms:W3CDTF">2016-01-18T23:31:01Z</dcterms:created>
  <dcterms:modified xsi:type="dcterms:W3CDTF">2025-04-02T04:30:24Z</dcterms:modified>
</cp:coreProperties>
</file>